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75" windowWidth="18825" windowHeight="7005" tabRatio="500" activeTab="0"/>
  </bookViews>
  <sheets>
    <sheet name="使用説明書" sheetId="1" r:id="rId1"/>
    <sheet name="支持杭の計算" sheetId="2" r:id="rId2"/>
    <sheet name="杭の配置" sheetId="3" r:id="rId3"/>
  </sheets>
  <definedNames>
    <definedName name="A_m2">'支持杭の計算'!$D$12</definedName>
    <definedName name="B_m" localSheetId="2">'杭の配置'!$D$7</definedName>
    <definedName name="B_m">'支持杭の計算'!#REF!</definedName>
    <definedName name="D_cm">'支持杭の計算'!$D$9</definedName>
    <definedName name="D_mm" localSheetId="2">D_cm*10</definedName>
    <definedName name="D_mm">D_cm*10</definedName>
    <definedName name="Ganma_safe">'支持杭の計算'!$D$85</definedName>
    <definedName name="L_４D">'支持杭の計算'!$D$48</definedName>
    <definedName name="L_４D_m">'支持杭の計算'!$D$48/100</definedName>
    <definedName name="L_m">'支持杭の計算'!$D$8</definedName>
    <definedName name="L_mm" localSheetId="2">L_m*1000</definedName>
    <definedName name="L_mm">L_m*1000</definedName>
    <definedName name="L_r_Ratio">'支持杭の計算'!$D$120</definedName>
    <definedName name="N_hon">'杭の配置'!$D$28</definedName>
    <definedName name="n_safe">'支持杭の計算'!$D$77</definedName>
    <definedName name="Nv_Base">'支持杭の計算'!$E$19</definedName>
    <definedName name="_xlnm.Print_Area" localSheetId="2">'杭の配置'!$B$1:$M$79</definedName>
    <definedName name="_xlnm.Print_Area" localSheetId="0">'使用説明書'!$B$1:$M$81</definedName>
    <definedName name="_xlnm.Print_Area" localSheetId="1">'支持杭の計算'!$B$1:$M$133</definedName>
    <definedName name="q_d">'支持杭の計算'!$D$65</definedName>
    <definedName name="Q_kn">'杭の配置'!$D$20</definedName>
    <definedName name="q1_kNm2" localSheetId="2">'杭の配置'!$E$8</definedName>
    <definedName name="q1_kNm2">'支持杭の計算'!#REF!</definedName>
    <definedName name="q2_kNm2" localSheetId="2">'杭の配置'!$E$9</definedName>
    <definedName name="q2_kNm2">'支持杭の計算'!#REF!</definedName>
    <definedName name="Ra_kNm2">'杭の配置'!$D$4</definedName>
    <definedName name="Ra_val">'支持杭の計算'!$D$94</definedName>
    <definedName name="Raw_val">'支持杭の計算'!$D$126</definedName>
    <definedName name="Ru_Shiji">'支持杭の計算'!$D$70</definedName>
    <definedName name="Shubetsu">'支持杭の計算'!$D$7</definedName>
    <definedName name="Sigma_fi_Li">'支持杭の計算'!$I$31</definedName>
    <definedName name="Sigma_LN">'支持杭の計算'!$U$31</definedName>
    <definedName name="tan_Theta">'杭の配置'!$D$32</definedName>
    <definedName name="Tip_Row">'支持杭の計算'!$R$31</definedName>
    <definedName name="U_m">'支持杭の計算'!$D$15</definedName>
    <definedName name="YL_m">'杭の配置'!$D$13</definedName>
  </definedNames>
  <calcPr fullCalcOnLoad="1"/>
</workbook>
</file>

<file path=xl/sharedStrings.xml><?xml version="1.0" encoding="utf-8"?>
<sst xmlns="http://schemas.openxmlformats.org/spreadsheetml/2006/main" count="275" uniqueCount="248">
  <si>
    <t>砂質土</t>
  </si>
  <si>
    <t>粘性土</t>
  </si>
  <si>
    <t>※通常の設計においては「常時」の安全率を用いることとする．</t>
  </si>
  <si>
    <r>
      <t>σ</t>
    </r>
    <r>
      <rPr>
        <vertAlign val="subscript"/>
        <sz val="10.5"/>
        <color indexed="8"/>
        <rFont val="Century"/>
        <family val="1"/>
      </rPr>
      <t>cr,a</t>
    </r>
    <r>
      <rPr>
        <sz val="10.5"/>
        <color indexed="8"/>
        <rFont val="Century"/>
        <family val="1"/>
      </rPr>
      <t>(N/mm</t>
    </r>
    <r>
      <rPr>
        <vertAlign val="superscript"/>
        <sz val="10.5"/>
        <color indexed="8"/>
        <rFont val="Century"/>
        <family val="1"/>
      </rPr>
      <t>2</t>
    </r>
    <r>
      <rPr>
        <sz val="10.5"/>
        <color indexed="8"/>
        <rFont val="Century"/>
        <family val="1"/>
      </rPr>
      <t>)</t>
    </r>
  </si>
  <si>
    <r>
      <t>L</t>
    </r>
    <r>
      <rPr>
        <vertAlign val="subscript"/>
        <sz val="11"/>
        <color indexed="8"/>
        <rFont val="ＭＳ 明朝"/>
        <family val="1"/>
      </rPr>
      <t>i</t>
    </r>
    <r>
      <rPr>
        <sz val="11"/>
        <color indexed="8"/>
        <rFont val="ＭＳ 明朝"/>
        <family val="1"/>
      </rPr>
      <t>：</t>
    </r>
  </si>
  <si>
    <t>周面摩擦力を考慮する層の層厚(m)</t>
  </si>
  <si>
    <r>
      <t>f</t>
    </r>
    <r>
      <rPr>
        <vertAlign val="subscript"/>
        <sz val="11"/>
        <color indexed="8"/>
        <rFont val="ＭＳ 明朝"/>
        <family val="1"/>
      </rPr>
      <t>i</t>
    </r>
    <r>
      <rPr>
        <sz val="11"/>
        <color indexed="8"/>
        <rFont val="ＭＳ 明朝"/>
        <family val="1"/>
      </rPr>
      <t>：</t>
    </r>
  </si>
  <si>
    <t>周面摩擦力を考慮する層の最大周面摩擦応力度(kN/m2)</t>
  </si>
  <si>
    <t>杭先端地盤の設計用N値</t>
  </si>
  <si>
    <t>杭先端位置のN値</t>
  </si>
  <si>
    <t>杭先端から上方へ4Dの範囲における平均N値</t>
  </si>
  <si>
    <t>=</t>
  </si>
  <si>
    <t>杭長</t>
  </si>
  <si>
    <t>N/本</t>
  </si>
  <si>
    <t>kN/本</t>
  </si>
  <si>
    <r>
      <t>　R</t>
    </r>
    <r>
      <rPr>
        <vertAlign val="subscript"/>
        <sz val="11"/>
        <color indexed="8"/>
        <rFont val="ＭＳ 明朝"/>
        <family val="1"/>
      </rPr>
      <t>aw</t>
    </r>
    <r>
      <rPr>
        <sz val="11"/>
        <color indexed="8"/>
        <rFont val="ＭＳ 明朝"/>
        <family val="1"/>
      </rPr>
      <t>=σ</t>
    </r>
    <r>
      <rPr>
        <vertAlign val="subscript"/>
        <sz val="11"/>
        <color indexed="8"/>
        <rFont val="ＭＳ 明朝"/>
        <family val="1"/>
      </rPr>
      <t>cr,a</t>
    </r>
    <r>
      <rPr>
        <sz val="11"/>
        <color indexed="8"/>
        <rFont val="ＭＳ 明朝"/>
        <family val="1"/>
      </rPr>
      <t>×A</t>
    </r>
  </si>
  <si>
    <t>cm</t>
  </si>
  <si>
    <t>平均N値算出範囲</t>
  </si>
  <si>
    <t>土質</t>
  </si>
  <si>
    <t>種別</t>
  </si>
  <si>
    <t>N値</t>
  </si>
  <si>
    <t>粘土</t>
  </si>
  <si>
    <t>シルト</t>
  </si>
  <si>
    <t>砂</t>
  </si>
  <si>
    <t>層厚m</t>
  </si>
  <si>
    <t>深度</t>
  </si>
  <si>
    <t>４D =</t>
  </si>
  <si>
    <r>
      <t>N</t>
    </r>
    <r>
      <rPr>
        <vertAlign val="subscript"/>
        <sz val="11"/>
        <color indexed="8"/>
        <rFont val="ＭＳ 明朝"/>
        <family val="1"/>
      </rPr>
      <t>1</t>
    </r>
    <r>
      <rPr>
        <sz val="11"/>
        <color indexed="8"/>
        <rFont val="ＭＳ 明朝"/>
        <family val="1"/>
      </rPr>
      <t xml:space="preserve"> =</t>
    </r>
  </si>
  <si>
    <t>杭先端より</t>
  </si>
  <si>
    <t>平均対象</t>
  </si>
  <si>
    <t>杭先端行</t>
  </si>
  <si>
    <r>
      <t>N</t>
    </r>
    <r>
      <rPr>
        <vertAlign val="subscript"/>
        <sz val="11"/>
        <color indexed="8"/>
        <rFont val="ＭＳ 明朝"/>
        <family val="1"/>
      </rPr>
      <t>2</t>
    </r>
    <r>
      <rPr>
        <sz val="11"/>
        <color indexed="8"/>
        <rFont val="ＭＳ 明朝"/>
        <family val="1"/>
      </rPr>
      <t xml:space="preserve"> =</t>
    </r>
  </si>
  <si>
    <t>　　N =</t>
  </si>
  <si>
    <t>層厚×N</t>
  </si>
  <si>
    <t>Σ</t>
  </si>
  <si>
    <r>
      <t>（N</t>
    </r>
    <r>
      <rPr>
        <vertAlign val="subscript"/>
        <sz val="11"/>
        <color indexed="8"/>
        <rFont val="ＭＳ 明朝"/>
        <family val="1"/>
      </rPr>
      <t>1</t>
    </r>
    <r>
      <rPr>
        <sz val="11"/>
        <color indexed="8"/>
        <rFont val="ＭＳ 明朝"/>
        <family val="1"/>
      </rPr>
      <t>+N</t>
    </r>
    <r>
      <rPr>
        <vertAlign val="subscript"/>
        <sz val="11"/>
        <color indexed="8"/>
        <rFont val="ＭＳ 明朝"/>
        <family val="1"/>
      </rPr>
      <t>2</t>
    </r>
    <r>
      <rPr>
        <sz val="11"/>
        <color indexed="8"/>
        <rFont val="ＭＳ 明朝"/>
        <family val="1"/>
      </rPr>
      <t>）÷２ =</t>
    </r>
  </si>
  <si>
    <r>
      <t>式　q</t>
    </r>
    <r>
      <rPr>
        <vertAlign val="subscript"/>
        <sz val="11"/>
        <color indexed="8"/>
        <rFont val="ＭＳ 明朝"/>
        <family val="1"/>
      </rPr>
      <t>d</t>
    </r>
    <r>
      <rPr>
        <sz val="11"/>
        <color indexed="8"/>
        <rFont val="ＭＳ 明朝"/>
        <family val="1"/>
      </rPr>
      <t>/N=100(kN/m</t>
    </r>
    <r>
      <rPr>
        <vertAlign val="superscript"/>
        <sz val="11"/>
        <color indexed="8"/>
        <rFont val="ＭＳ 明朝"/>
        <family val="1"/>
      </rPr>
      <t>2</t>
    </r>
    <r>
      <rPr>
        <sz val="11"/>
        <color indexed="8"/>
        <rFont val="ＭＳ 明朝"/>
        <family val="1"/>
      </rPr>
      <t>)　より</t>
    </r>
  </si>
  <si>
    <r>
      <t>q</t>
    </r>
    <r>
      <rPr>
        <vertAlign val="subscript"/>
        <sz val="11"/>
        <color indexed="8"/>
        <rFont val="ＭＳ 明朝"/>
        <family val="1"/>
      </rPr>
      <t xml:space="preserve">d </t>
    </r>
    <r>
      <rPr>
        <sz val="11"/>
        <color indexed="8"/>
        <rFont val="ＭＳ 明朝"/>
        <family val="1"/>
      </rPr>
      <t>=</t>
    </r>
  </si>
  <si>
    <r>
      <t>kN/m</t>
    </r>
    <r>
      <rPr>
        <vertAlign val="superscript"/>
        <sz val="11"/>
        <color indexed="8"/>
        <rFont val="ＭＳ 明朝"/>
        <family val="1"/>
      </rPr>
      <t>2</t>
    </r>
  </si>
  <si>
    <t>地盤から求まる杭の極限支持力</t>
  </si>
  <si>
    <r>
      <t>f</t>
    </r>
    <r>
      <rPr>
        <vertAlign val="subscript"/>
        <sz val="11"/>
        <color indexed="8"/>
        <rFont val="ＭＳ 明朝"/>
        <family val="1"/>
      </rPr>
      <t>i</t>
    </r>
  </si>
  <si>
    <t>礫</t>
  </si>
  <si>
    <r>
      <t>L</t>
    </r>
    <r>
      <rPr>
        <vertAlign val="subscript"/>
        <sz val="11"/>
        <color indexed="8"/>
        <rFont val="ＭＳ 明朝"/>
        <family val="1"/>
      </rPr>
      <t>i</t>
    </r>
  </si>
  <si>
    <t>粘土</t>
  </si>
  <si>
    <t>m</t>
  </si>
  <si>
    <t>cm</t>
  </si>
  <si>
    <t>杭長 L</t>
  </si>
  <si>
    <t>直径 D</t>
  </si>
  <si>
    <r>
      <t>周面摩擦力を考慮する層の最大周面摩擦力度 f</t>
    </r>
    <r>
      <rPr>
        <vertAlign val="subscript"/>
        <sz val="9"/>
        <color indexed="8"/>
        <rFont val="ＭＳ 明朝"/>
        <family val="1"/>
      </rPr>
      <t xml:space="preserve">i </t>
    </r>
    <r>
      <rPr>
        <sz val="9"/>
        <color indexed="8"/>
        <rFont val="ＭＳ 明朝"/>
        <family val="1"/>
      </rPr>
      <t>は下表より算出</t>
    </r>
  </si>
  <si>
    <r>
      <t>f</t>
    </r>
    <r>
      <rPr>
        <vertAlign val="subscript"/>
        <sz val="11"/>
        <color indexed="8"/>
        <rFont val="ＭＳ 明朝"/>
        <family val="1"/>
      </rPr>
      <t>i</t>
    </r>
    <r>
      <rPr>
        <sz val="11"/>
        <color indexed="8"/>
        <rFont val="ＭＳ 明朝"/>
        <family val="1"/>
      </rPr>
      <t>×L</t>
    </r>
    <r>
      <rPr>
        <vertAlign val="subscript"/>
        <sz val="11"/>
        <color indexed="8"/>
        <rFont val="ＭＳ 明朝"/>
        <family val="1"/>
      </rPr>
      <t>i</t>
    </r>
  </si>
  <si>
    <t>Σ(fi×Li) =</t>
  </si>
  <si>
    <r>
      <t>q</t>
    </r>
    <r>
      <rPr>
        <vertAlign val="subscript"/>
        <sz val="11"/>
        <color indexed="8"/>
        <rFont val="ＭＳ 明朝"/>
        <family val="1"/>
      </rPr>
      <t>d</t>
    </r>
    <r>
      <rPr>
        <sz val="11"/>
        <color indexed="8"/>
        <rFont val="ＭＳ 明朝"/>
        <family val="1"/>
      </rPr>
      <t>×A+U×Σ(Li×fi)</t>
    </r>
  </si>
  <si>
    <r>
      <t>R</t>
    </r>
    <r>
      <rPr>
        <vertAlign val="subscript"/>
        <sz val="11"/>
        <color indexed="8"/>
        <rFont val="ＭＳ 明朝"/>
        <family val="1"/>
      </rPr>
      <t>u</t>
    </r>
    <r>
      <rPr>
        <sz val="11"/>
        <color indexed="8"/>
        <rFont val="ＭＳ 明朝"/>
        <family val="1"/>
      </rPr>
      <t>=</t>
    </r>
  </si>
  <si>
    <t>A =</t>
  </si>
  <si>
    <t>杭先端面積</t>
  </si>
  <si>
    <t>㎡</t>
  </si>
  <si>
    <t>木杭の周長</t>
  </si>
  <si>
    <t>U =</t>
  </si>
  <si>
    <t>安全率</t>
  </si>
  <si>
    <t>n =</t>
  </si>
  <si>
    <t>安全率の補正係数</t>
  </si>
  <si>
    <t>γ =</t>
  </si>
  <si>
    <r>
      <t>γ/n ×R</t>
    </r>
    <r>
      <rPr>
        <vertAlign val="subscript"/>
        <sz val="11"/>
        <color indexed="8"/>
        <rFont val="ＭＳ 明朝"/>
        <family val="1"/>
      </rPr>
      <t>u</t>
    </r>
  </si>
  <si>
    <t>Ra＝</t>
  </si>
  <si>
    <t>kN／本</t>
  </si>
  <si>
    <t>ｋN</t>
  </si>
  <si>
    <r>
      <rPr>
        <sz val="11"/>
        <color indexed="8"/>
        <rFont val="ＭＳ ゴシック"/>
        <family val="3"/>
      </rPr>
      <t>杭の許容支持力</t>
    </r>
    <r>
      <rPr>
        <sz val="11"/>
        <color indexed="8"/>
        <rFont val="ＭＳ 明朝"/>
        <family val="1"/>
      </rPr>
      <t>　（杭頭における杭の軸方向押込み支持力）</t>
    </r>
  </si>
  <si>
    <t>２）杭頭における杭の軸方向押込み支持力(Ra)の算出</t>
  </si>
  <si>
    <t>１）地盤から求まる杭の極限支持力(Ru)の計算</t>
  </si>
  <si>
    <r>
      <t>３）材料特性に基づく木杭の許容支持力(R</t>
    </r>
    <r>
      <rPr>
        <vertAlign val="subscript"/>
        <sz val="11"/>
        <color indexed="8"/>
        <rFont val="ＭＳ 明朝"/>
        <family val="1"/>
      </rPr>
      <t>aw</t>
    </r>
    <r>
      <rPr>
        <sz val="11"/>
        <color indexed="8"/>
        <rFont val="ＭＳ 明朝"/>
        <family val="1"/>
      </rPr>
      <t>)の計算</t>
    </r>
  </si>
  <si>
    <r>
      <t>σ</t>
    </r>
    <r>
      <rPr>
        <vertAlign val="subscript"/>
        <sz val="9"/>
        <color indexed="8"/>
        <rFont val="ＭＳ 明朝"/>
        <family val="1"/>
      </rPr>
      <t xml:space="preserve">cr,a </t>
    </r>
    <r>
      <rPr>
        <sz val="9"/>
        <color indexed="8"/>
        <rFont val="ＭＳ 明朝"/>
        <family val="1"/>
      </rPr>
      <t>は木材の許容応力度で座屈応力度σ</t>
    </r>
    <r>
      <rPr>
        <vertAlign val="subscript"/>
        <sz val="9"/>
        <color indexed="8"/>
        <rFont val="ＭＳ 明朝"/>
        <family val="1"/>
      </rPr>
      <t>cr</t>
    </r>
    <r>
      <rPr>
        <sz val="9"/>
        <color indexed="8"/>
        <rFont val="ＭＳ 明朝"/>
        <family val="1"/>
      </rPr>
      <t>に安全率を考慮した式</t>
    </r>
  </si>
  <si>
    <r>
      <t xml:space="preserve"> =πD</t>
    </r>
    <r>
      <rPr>
        <vertAlign val="superscript"/>
        <sz val="11"/>
        <color indexed="8"/>
        <rFont val="ＭＳ 明朝"/>
        <family val="1"/>
      </rPr>
      <t>2</t>
    </r>
    <r>
      <rPr>
        <sz val="11"/>
        <color indexed="8"/>
        <rFont val="ＭＳ 明朝"/>
        <family val="1"/>
      </rPr>
      <t>/4 =</t>
    </r>
  </si>
  <si>
    <t>杭の実断面積</t>
  </si>
  <si>
    <t>A =</t>
  </si>
  <si>
    <r>
      <t>mm</t>
    </r>
    <r>
      <rPr>
        <vertAlign val="superscript"/>
        <sz val="11"/>
        <color indexed="8"/>
        <rFont val="ＭＳ 明朝"/>
        <family val="1"/>
      </rPr>
      <t>2</t>
    </r>
  </si>
  <si>
    <t>L =</t>
  </si>
  <si>
    <t>mm</t>
  </si>
  <si>
    <t>断面２次モーメント</t>
  </si>
  <si>
    <t>I =</t>
  </si>
  <si>
    <t xml:space="preserve">杭の直径 </t>
  </si>
  <si>
    <t>D =</t>
  </si>
  <si>
    <t>断面２次半径</t>
  </si>
  <si>
    <r>
      <t>mm</t>
    </r>
    <r>
      <rPr>
        <vertAlign val="superscript"/>
        <sz val="11"/>
        <color indexed="8"/>
        <rFont val="ＭＳ 明朝"/>
        <family val="1"/>
      </rPr>
      <t>4</t>
    </r>
  </si>
  <si>
    <t>r =</t>
  </si>
  <si>
    <r>
      <t>(πD</t>
    </r>
    <r>
      <rPr>
        <vertAlign val="superscript"/>
        <sz val="11"/>
        <color indexed="8"/>
        <rFont val="ＭＳ 明朝"/>
        <family val="1"/>
      </rPr>
      <t>4</t>
    </r>
    <r>
      <rPr>
        <sz val="11"/>
        <color indexed="8"/>
        <rFont val="ＭＳ 明朝"/>
        <family val="1"/>
      </rPr>
      <t>)/64</t>
    </r>
  </si>
  <si>
    <t xml:space="preserve">√(I/A) </t>
  </si>
  <si>
    <t>*L/r は</t>
  </si>
  <si>
    <t>木杭の許容支持力</t>
  </si>
  <si>
    <t>計算用補助表</t>
  </si>
  <si>
    <t>４）地盤による許容支持力(Ra)と材料特性による許容支持力(Raw)との比較</t>
  </si>
  <si>
    <t>杭の配置</t>
  </si>
  <si>
    <t>地盤反力</t>
  </si>
  <si>
    <r>
      <t>q</t>
    </r>
    <r>
      <rPr>
        <vertAlign val="subscript"/>
        <sz val="11"/>
        <color indexed="8"/>
        <rFont val="ＭＳ 明朝"/>
        <family val="1"/>
      </rPr>
      <t>1</t>
    </r>
  </si>
  <si>
    <r>
      <t>q</t>
    </r>
    <r>
      <rPr>
        <vertAlign val="subscript"/>
        <sz val="11"/>
        <color indexed="8"/>
        <rFont val="ＭＳ 明朝"/>
        <family val="1"/>
      </rPr>
      <t>2</t>
    </r>
  </si>
  <si>
    <t>m</t>
  </si>
  <si>
    <t>kN㎡</t>
  </si>
  <si>
    <t>杭の所要本数</t>
  </si>
  <si>
    <t>n=</t>
  </si>
  <si>
    <t>=</t>
  </si>
  <si>
    <t>底版前端</t>
  </si>
  <si>
    <t>底版後端</t>
  </si>
  <si>
    <r>
      <t>(q</t>
    </r>
    <r>
      <rPr>
        <vertAlign val="subscript"/>
        <sz val="11"/>
        <color indexed="8"/>
        <rFont val="ＭＳ 明朝"/>
        <family val="1"/>
      </rPr>
      <t>1</t>
    </r>
    <r>
      <rPr>
        <sz val="11"/>
        <color indexed="8"/>
        <rFont val="ＭＳ 明朝"/>
        <family val="1"/>
      </rPr>
      <t>+q</t>
    </r>
    <r>
      <rPr>
        <vertAlign val="subscript"/>
        <sz val="11"/>
        <color indexed="8"/>
        <rFont val="ＭＳ 明朝"/>
        <family val="1"/>
      </rPr>
      <t>2</t>
    </r>
    <r>
      <rPr>
        <sz val="11"/>
        <color indexed="8"/>
        <rFont val="ＭＳ 明朝"/>
        <family val="1"/>
      </rPr>
      <t>)･B･L</t>
    </r>
  </si>
  <si>
    <t>杭の許容支持力</t>
  </si>
  <si>
    <t>Ra</t>
  </si>
  <si>
    <t>≒</t>
  </si>
  <si>
    <r>
      <t>A</t>
    </r>
    <r>
      <rPr>
        <vertAlign val="subscript"/>
        <sz val="11"/>
        <color indexed="8"/>
        <rFont val="ＭＳ 明朝"/>
        <family val="1"/>
      </rPr>
      <t>i</t>
    </r>
    <r>
      <rPr>
        <sz val="11"/>
        <color indexed="8"/>
        <rFont val="ＭＳ 明朝"/>
        <family val="1"/>
      </rPr>
      <t>=</t>
    </r>
  </si>
  <si>
    <t>kN</t>
  </si>
  <si>
    <t>Q=</t>
  </si>
  <si>
    <t>Q</t>
  </si>
  <si>
    <t>Ra</t>
  </si>
  <si>
    <t>本となる</t>
  </si>
  <si>
    <t>tanθ=</t>
  </si>
  <si>
    <t>B</t>
  </si>
  <si>
    <r>
      <t>q</t>
    </r>
    <r>
      <rPr>
        <vertAlign val="subscript"/>
        <sz val="11"/>
        <color indexed="8"/>
        <rFont val="ＭＳ 明朝"/>
        <family val="1"/>
      </rPr>
      <t xml:space="preserve">1 </t>
    </r>
    <r>
      <rPr>
        <sz val="11"/>
        <color indexed="8"/>
        <rFont val="ＭＳ 明朝"/>
        <family val="1"/>
      </rPr>
      <t>− q</t>
    </r>
    <r>
      <rPr>
        <vertAlign val="subscript"/>
        <sz val="11"/>
        <color indexed="8"/>
        <rFont val="ＭＳ 明朝"/>
        <family val="1"/>
      </rPr>
      <t>2</t>
    </r>
  </si>
  <si>
    <t>=</t>
  </si>
  <si>
    <t>Qi</t>
  </si>
  <si>
    <t>Q</t>
  </si>
  <si>
    <r>
      <t>X</t>
    </r>
    <r>
      <rPr>
        <vertAlign val="subscript"/>
        <sz val="11"/>
        <color indexed="8"/>
        <rFont val="ＭＳ 明朝"/>
        <family val="1"/>
      </rPr>
      <t>i</t>
    </r>
    <r>
      <rPr>
        <sz val="11"/>
        <color indexed="8"/>
        <rFont val="ＭＳ 明朝"/>
        <family val="1"/>
      </rPr>
      <t>=</t>
    </r>
  </si>
  <si>
    <t>Qi: 0点からXiの範囲の地盤反力(kN)</t>
  </si>
  <si>
    <t>tanθ</t>
  </si>
  <si>
    <r>
      <t>g</t>
    </r>
    <r>
      <rPr>
        <vertAlign val="subscript"/>
        <sz val="11"/>
        <color indexed="8"/>
        <rFont val="ＭＳ 明朝"/>
        <family val="1"/>
      </rPr>
      <t>i</t>
    </r>
    <r>
      <rPr>
        <sz val="11"/>
        <color indexed="8"/>
        <rFont val="ＭＳ 明朝"/>
        <family val="1"/>
      </rPr>
      <t>=</t>
    </r>
  </si>
  <si>
    <r>
      <t>2g</t>
    </r>
    <r>
      <rPr>
        <vertAlign val="subscript"/>
        <sz val="11"/>
        <color indexed="8"/>
        <rFont val="ＭＳ 明朝"/>
        <family val="1"/>
      </rPr>
      <t>i</t>
    </r>
    <r>
      <rPr>
        <sz val="11"/>
        <color indexed="8"/>
        <rFont val="ＭＳ 明朝"/>
        <family val="1"/>
      </rPr>
      <t>＋g</t>
    </r>
    <r>
      <rPr>
        <vertAlign val="subscript"/>
        <sz val="11"/>
        <color indexed="8"/>
        <rFont val="ＭＳ 明朝"/>
        <family val="1"/>
      </rPr>
      <t>i-1</t>
    </r>
  </si>
  <si>
    <r>
      <t>g</t>
    </r>
    <r>
      <rPr>
        <vertAlign val="subscript"/>
        <sz val="11"/>
        <color indexed="8"/>
        <rFont val="ＭＳ 明朝"/>
        <family val="1"/>
      </rPr>
      <t>i</t>
    </r>
    <r>
      <rPr>
        <sz val="11"/>
        <color indexed="8"/>
        <rFont val="ＭＳ 明朝"/>
        <family val="1"/>
      </rPr>
      <t>＋g</t>
    </r>
    <r>
      <rPr>
        <vertAlign val="subscript"/>
        <sz val="11"/>
        <color indexed="8"/>
        <rFont val="ＭＳ 明朝"/>
        <family val="1"/>
      </rPr>
      <t>i-1</t>
    </r>
  </si>
  <si>
    <t>×</t>
  </si>
  <si>
    <r>
      <t>X</t>
    </r>
    <r>
      <rPr>
        <vertAlign val="subscript"/>
        <sz val="11"/>
        <color indexed="8"/>
        <rFont val="ＭＳ 明朝"/>
        <family val="1"/>
      </rPr>
      <t>i</t>
    </r>
    <r>
      <rPr>
        <sz val="11"/>
        <color indexed="8"/>
        <rFont val="ＭＳ 明朝"/>
        <family val="1"/>
      </rPr>
      <t>−X</t>
    </r>
    <r>
      <rPr>
        <vertAlign val="subscript"/>
        <sz val="11"/>
        <color indexed="8"/>
        <rFont val="ＭＳ 明朝"/>
        <family val="1"/>
      </rPr>
      <t>i-1</t>
    </r>
  </si>
  <si>
    <r>
      <t>G</t>
    </r>
    <r>
      <rPr>
        <vertAlign val="subscript"/>
        <sz val="11"/>
        <color indexed="8"/>
        <rFont val="ＭＳ 明朝"/>
        <family val="1"/>
      </rPr>
      <t>i</t>
    </r>
    <r>
      <rPr>
        <sz val="11"/>
        <color indexed="8"/>
        <rFont val="ＭＳ 明朝"/>
        <family val="1"/>
      </rPr>
      <t>=</t>
    </r>
  </si>
  <si>
    <r>
      <t>K</t>
    </r>
    <r>
      <rPr>
        <vertAlign val="subscript"/>
        <sz val="11"/>
        <color indexed="8"/>
        <rFont val="ＭＳ 明朝"/>
        <family val="1"/>
      </rPr>
      <t>i</t>
    </r>
    <r>
      <rPr>
        <sz val="11"/>
        <color indexed="8"/>
        <rFont val="ＭＳ 明朝"/>
        <family val="1"/>
      </rPr>
      <t>=</t>
    </r>
  </si>
  <si>
    <r>
      <t>G</t>
    </r>
    <r>
      <rPr>
        <vertAlign val="subscript"/>
        <sz val="11"/>
        <color indexed="8"/>
        <rFont val="ＭＳ 明朝"/>
        <family val="1"/>
      </rPr>
      <t>i</t>
    </r>
    <r>
      <rPr>
        <sz val="11"/>
        <color indexed="8"/>
        <rFont val="ＭＳ 明朝"/>
        <family val="1"/>
      </rPr>
      <t>＋X</t>
    </r>
    <r>
      <rPr>
        <vertAlign val="subscript"/>
        <sz val="11"/>
        <color indexed="8"/>
        <rFont val="ＭＳ 明朝"/>
        <family val="1"/>
      </rPr>
      <t>i-1</t>
    </r>
  </si>
  <si>
    <r>
      <t>A</t>
    </r>
    <r>
      <rPr>
        <vertAlign val="subscript"/>
        <sz val="11"/>
        <color indexed="8"/>
        <rFont val="ＭＳ 明朝"/>
        <family val="1"/>
      </rPr>
      <t>i</t>
    </r>
  </si>
  <si>
    <t>本配列し、各杭が地盤反力を均等に負担する距離を求める</t>
  </si>
  <si>
    <t>＊杭を</t>
  </si>
  <si>
    <t>以下の式によりi番目の杭についての計算を行う</t>
  </si>
  <si>
    <t>配列数</t>
  </si>
  <si>
    <t>i</t>
  </si>
  <si>
    <t>各杭が均等に地盤反力を負担するため</t>
  </si>
  <si>
    <r>
      <t>-q</t>
    </r>
    <r>
      <rPr>
        <vertAlign val="subscript"/>
        <sz val="11"/>
        <rFont val="ＭＳ 明朝"/>
        <family val="1"/>
      </rPr>
      <t>2</t>
    </r>
    <r>
      <rPr>
        <sz val="11"/>
        <rFont val="ＭＳ 明朝"/>
        <family val="1"/>
      </rPr>
      <t>＋√(q</t>
    </r>
    <r>
      <rPr>
        <vertAlign val="subscript"/>
        <sz val="11"/>
        <rFont val="ＭＳ 明朝"/>
        <family val="1"/>
      </rPr>
      <t>2</t>
    </r>
    <r>
      <rPr>
        <vertAlign val="superscript"/>
        <sz val="11"/>
        <rFont val="ＭＳ 明朝"/>
        <family val="1"/>
      </rPr>
      <t>2</t>
    </r>
    <r>
      <rPr>
        <sz val="11"/>
        <rFont val="ＭＳ 明朝"/>
        <family val="1"/>
      </rPr>
      <t>＋(q</t>
    </r>
    <r>
      <rPr>
        <vertAlign val="subscript"/>
        <sz val="11"/>
        <rFont val="ＭＳ 明朝"/>
        <family val="1"/>
      </rPr>
      <t>1</t>
    </r>
    <r>
      <rPr>
        <sz val="11"/>
        <rFont val="ＭＳ 明朝"/>
        <family val="1"/>
      </rPr>
      <t>＋q</t>
    </r>
    <r>
      <rPr>
        <vertAlign val="subscript"/>
        <sz val="11"/>
        <rFont val="ＭＳ 明朝"/>
        <family val="1"/>
      </rPr>
      <t>2</t>
    </r>
    <r>
      <rPr>
        <sz val="11"/>
        <rFont val="ＭＳ 明朝"/>
        <family val="1"/>
      </rPr>
      <t>)･A</t>
    </r>
    <r>
      <rPr>
        <vertAlign val="subscript"/>
        <sz val="11"/>
        <rFont val="ＭＳ 明朝"/>
        <family val="1"/>
      </rPr>
      <t>i</t>
    </r>
    <r>
      <rPr>
        <sz val="11"/>
        <rFont val="ＭＳ 明朝"/>
        <family val="1"/>
      </rPr>
      <t>･B･tanθ）</t>
    </r>
  </si>
  <si>
    <r>
      <t>X</t>
    </r>
    <r>
      <rPr>
        <vertAlign val="subscript"/>
        <sz val="11"/>
        <color indexed="8"/>
        <rFont val="ＭＳ 明朝"/>
        <family val="1"/>
      </rPr>
      <t>i</t>
    </r>
  </si>
  <si>
    <r>
      <t>g</t>
    </r>
    <r>
      <rPr>
        <vertAlign val="subscript"/>
        <sz val="11"/>
        <color indexed="8"/>
        <rFont val="ＭＳ 明朝"/>
        <family val="1"/>
      </rPr>
      <t>i</t>
    </r>
  </si>
  <si>
    <r>
      <t>G</t>
    </r>
    <r>
      <rPr>
        <vertAlign val="subscript"/>
        <sz val="11"/>
        <color indexed="8"/>
        <rFont val="ＭＳ 明朝"/>
        <family val="1"/>
      </rPr>
      <t>i</t>
    </r>
  </si>
  <si>
    <t>（距離0点を底版後端とする）</t>
  </si>
  <si>
    <r>
      <t>K</t>
    </r>
    <r>
      <rPr>
        <vertAlign val="subscript"/>
        <sz val="11"/>
        <color indexed="8"/>
        <rFont val="ＭＳ 明朝"/>
        <family val="1"/>
      </rPr>
      <t>i</t>
    </r>
  </si>
  <si>
    <t>端部から
の距離</t>
  </si>
  <si>
    <t>杭の
中心間隔</t>
  </si>
  <si>
    <t>・フーチング端部よりの距離</t>
  </si>
  <si>
    <t>・杭の中心間隔</t>
  </si>
  <si>
    <t>1.0D =</t>
  </si>
  <si>
    <t>道路橋示方書の規定を参考に杭の最小中心間隔をチェックする</t>
  </si>
  <si>
    <t>2.5D =</t>
  </si>
  <si>
    <t>底版後端</t>
  </si>
  <si>
    <t>荷重状態</t>
  </si>
  <si>
    <t>常時</t>
  </si>
  <si>
    <t>レベル１地震時</t>
  </si>
  <si>
    <t>支持杭の安全率表</t>
  </si>
  <si>
    <t>安全率</t>
  </si>
  <si>
    <t>補正係数表</t>
  </si>
  <si>
    <t>極限支持力推定法</t>
  </si>
  <si>
    <t>支持力推定式</t>
  </si>
  <si>
    <t>鉛直載荷試験</t>
  </si>
  <si>
    <t>補正係数</t>
  </si>
  <si>
    <t>木材（針葉樹）の許容応力度</t>
  </si>
  <si>
    <t>　L/r</t>
  </si>
  <si>
    <t>　L/r ＜ 100</t>
  </si>
  <si>
    <t xml:space="preserve"> 7-0.192(L／D)</t>
  </si>
  <si>
    <t>　打込み杭工法
（打撃工法、バイブロハンマ工法など）</t>
  </si>
  <si>
    <t>砂質土</t>
  </si>
  <si>
    <t>粘性土</t>
  </si>
  <si>
    <t>２N(≦１００）</t>
  </si>
  <si>
    <t>Cまたは10N(≦150)</t>
  </si>
  <si>
    <t>地盤の種類</t>
  </si>
  <si>
    <t>杭配置の計算</t>
  </si>
  <si>
    <t>[支持杭の計算]シート</t>
  </si>
  <si>
    <t>地表面から順番に</t>
  </si>
  <si>
    <t>・土質</t>
  </si>
  <si>
    <t>・種別（粘性土・砂質土より選択）</t>
  </si>
  <si>
    <t>・N値</t>
  </si>
  <si>
    <t>・層厚</t>
  </si>
  <si>
    <t>＊杭長以上の深度までのデータが必要</t>
  </si>
  <si>
    <t>→地盤から求まる杭の極限支持力Ruが算出されます。</t>
  </si>
  <si>
    <t>→杭頭における杭の軸方向押し込み支持力Raが算出されます。</t>
  </si>
  <si>
    <t>→材料特性による木杭の許容支持力Rawが算出されます。</t>
  </si>
  <si>
    <t>[杭の配置]シート</t>
  </si>
  <si>
    <t>・底版幅</t>
  </si>
  <si>
    <t>・地盤反力　q1(底版前端）、q2（底版後端）</t>
  </si>
  <si>
    <t>→杭の所要本数が算出される。</t>
  </si>
  <si>
    <t>→各配列の位置が算出される</t>
  </si>
  <si>
    <t>杭の最小中心間隔（フーチング端部よりの距離、杭の中心間隔）</t>
  </si>
  <si>
    <t>丸太基礎杭の設計用計算シートの使用法</t>
  </si>
  <si>
    <t>１．杭の諸元を仮定し、許容支持力を求める</t>
  </si>
  <si>
    <t>１−２　地盤の諸元を入力</t>
  </si>
  <si>
    <t>１−３　安全率の入力</t>
  </si>
  <si>
    <t>２．杭の本数、配置を求める</t>
  </si>
  <si>
    <t>２−１　杭の許容支持力 Raを入力</t>
  </si>
  <si>
    <t>２−２　重力式擁壁の諸元を入力</t>
  </si>
  <si>
    <t>２−３　杭の配列数を入力（最大５）</t>
  </si>
  <si>
    <t>が規定範囲内であるかが判定される</t>
  </si>
  <si>
    <t>以上</t>
  </si>
  <si>
    <t>*許容応力度計算時、 L/r  &lt; 100の範囲外の場合警告が表示されます。</t>
  </si>
  <si>
    <t>RaとRawの比較結果が  Ra ＜ Rawの場合、１−１へ戻る</t>
  </si>
  <si>
    <t>　範囲外の場合、１−１へ戻る</t>
  </si>
  <si>
    <r>
      <t>上限値を超えた場合、砂質土は100</t>
    </r>
    <r>
      <rPr>
        <sz val="9"/>
        <color indexed="8"/>
        <rFont val="ＭＳ 明朝"/>
        <family val="1"/>
      </rPr>
      <t>kN/㎡、粘性土は150kN/㎡とする。</t>
    </r>
  </si>
  <si>
    <t>施工方法</t>
  </si>
  <si>
    <t>（参考）</t>
  </si>
  <si>
    <r>
      <t xml:space="preserve">直径 </t>
    </r>
    <r>
      <rPr>
        <sz val="11"/>
        <color indexed="8"/>
        <rFont val="ＭＳ 明朝"/>
        <family val="1"/>
      </rPr>
      <t>D</t>
    </r>
  </si>
  <si>
    <r>
      <t xml:space="preserve">長さ </t>
    </r>
    <r>
      <rPr>
        <sz val="11"/>
        <color indexed="8"/>
        <rFont val="ＭＳ 明朝"/>
        <family val="1"/>
      </rPr>
      <t>L</t>
    </r>
  </si>
  <si>
    <r>
      <t>擁壁</t>
    </r>
    <r>
      <rPr>
        <sz val="11"/>
        <color indexed="8"/>
        <rFont val="ＭＳ 明朝"/>
        <family val="1"/>
      </rPr>
      <t>等</t>
    </r>
    <r>
      <rPr>
        <sz val="11"/>
        <color indexed="8"/>
        <rFont val="ＭＳ 明朝"/>
        <family val="1"/>
      </rPr>
      <t>の諸元</t>
    </r>
  </si>
  <si>
    <r>
      <t>全地盤反力</t>
    </r>
    <r>
      <rPr>
        <sz val="11"/>
        <color indexed="8"/>
        <rFont val="ＭＳ 明朝"/>
        <family val="1"/>
      </rPr>
      <t>に対する0点からXiまでの範囲の地盤反力</t>
    </r>
    <r>
      <rPr>
        <sz val="11"/>
        <color indexed="8"/>
        <rFont val="ＭＳ 明朝"/>
        <family val="1"/>
      </rPr>
      <t>Ｑ</t>
    </r>
    <r>
      <rPr>
        <sz val="11"/>
        <color indexed="8"/>
        <rFont val="ＭＳ 明朝"/>
        <family val="1"/>
      </rPr>
      <t>の比率</t>
    </r>
  </si>
  <si>
    <r>
      <rPr>
        <sz val="11"/>
        <color indexed="8"/>
        <rFont val="ＭＳ 明朝"/>
        <family val="1"/>
      </rPr>
      <t>Ｘ</t>
    </r>
    <r>
      <rPr>
        <vertAlign val="subscript"/>
        <sz val="11"/>
        <color indexed="8"/>
        <rFont val="ＭＳ 明朝"/>
        <family val="1"/>
      </rPr>
      <t>i</t>
    </r>
    <r>
      <rPr>
        <sz val="11"/>
        <color indexed="8"/>
        <rFont val="ＭＳ 明朝"/>
        <family val="1"/>
      </rPr>
      <t>の位置における地盤反力強度</t>
    </r>
    <r>
      <rPr>
        <sz val="11"/>
        <color indexed="8"/>
        <rFont val="ＭＳ 明朝"/>
        <family val="1"/>
      </rPr>
      <t>ｇ</t>
    </r>
    <r>
      <rPr>
        <vertAlign val="subscript"/>
        <sz val="11"/>
        <color indexed="8"/>
        <rFont val="ＭＳ 明朝"/>
        <family val="1"/>
      </rPr>
      <t>i</t>
    </r>
    <r>
      <rPr>
        <sz val="11"/>
        <color indexed="8"/>
        <rFont val="ＭＳ 明朝"/>
        <family val="1"/>
      </rPr>
      <t>(kN/㎡)</t>
    </r>
  </si>
  <si>
    <r>
      <t>i番目の杭が負担する面積の重心位置</t>
    </r>
    <r>
      <rPr>
        <sz val="11"/>
        <color indexed="8"/>
        <rFont val="ＭＳ 明朝"/>
        <family val="1"/>
      </rPr>
      <t>Ｇ</t>
    </r>
    <r>
      <rPr>
        <vertAlign val="subscript"/>
        <sz val="11"/>
        <color indexed="8"/>
        <rFont val="ＭＳ 明朝"/>
        <family val="1"/>
      </rPr>
      <t>i</t>
    </r>
    <r>
      <rPr>
        <sz val="11"/>
        <color indexed="8"/>
        <rFont val="ＭＳ 明朝"/>
        <family val="1"/>
      </rPr>
      <t>(m)</t>
    </r>
  </si>
  <si>
    <r>
      <t>0点からi番目の杭までの距離</t>
    </r>
    <r>
      <rPr>
        <sz val="11"/>
        <color indexed="8"/>
        <rFont val="ＭＳ 明朝"/>
        <family val="1"/>
      </rPr>
      <t>Ｋ</t>
    </r>
    <r>
      <rPr>
        <vertAlign val="subscript"/>
        <sz val="11"/>
        <color indexed="8"/>
        <rFont val="ＭＳ 明朝"/>
        <family val="1"/>
      </rPr>
      <t>i</t>
    </r>
    <r>
      <rPr>
        <sz val="11"/>
        <color indexed="8"/>
        <rFont val="ＭＳ 明朝"/>
        <family val="1"/>
      </rPr>
      <t>(m)</t>
    </r>
  </si>
  <si>
    <t>杭</t>
  </si>
  <si>
    <r>
      <t>0点から
の</t>
    </r>
    <r>
      <rPr>
        <sz val="9"/>
        <color indexed="8"/>
        <rFont val="ＭＳ 明朝"/>
        <family val="1"/>
      </rPr>
      <t>距離</t>
    </r>
  </si>
  <si>
    <t>よって、各杭の0点からの距離を以下に示すように定め、端部からの距離、杭の中心間隔を求める</t>
  </si>
  <si>
    <r>
      <t>X</t>
    </r>
    <r>
      <rPr>
        <vertAlign val="subscript"/>
        <sz val="11"/>
        <color indexed="8"/>
        <rFont val="ＭＳ 明朝"/>
        <family val="1"/>
      </rPr>
      <t>i</t>
    </r>
    <r>
      <rPr>
        <sz val="11"/>
        <color indexed="8"/>
        <rFont val="ＭＳ 明朝"/>
        <family val="1"/>
      </rPr>
      <t>･tanθ＋q</t>
    </r>
    <r>
      <rPr>
        <vertAlign val="subscript"/>
        <sz val="11"/>
        <color indexed="8"/>
        <rFont val="ＭＳ 明朝"/>
        <family val="1"/>
      </rPr>
      <t>2</t>
    </r>
  </si>
  <si>
    <r>
      <t>Aiに対応する0点からの距離Ｘ</t>
    </r>
    <r>
      <rPr>
        <vertAlign val="subscript"/>
        <sz val="11"/>
        <color indexed="8"/>
        <rFont val="ＭＳ 明朝"/>
        <family val="1"/>
      </rPr>
      <t>i</t>
    </r>
    <r>
      <rPr>
        <sz val="11"/>
        <color indexed="8"/>
        <rFont val="ＭＳ 明朝"/>
        <family val="1"/>
      </rPr>
      <t>(</t>
    </r>
    <r>
      <rPr>
        <sz val="11"/>
        <color indexed="8"/>
        <rFont val="ＭＳ 明朝"/>
        <family val="1"/>
      </rPr>
      <t>m)</t>
    </r>
  </si>
  <si>
    <t>砂</t>
  </si>
  <si>
    <t>種類</t>
  </si>
  <si>
    <t>＊砂質土（２N＞100）、粘性土（10N＞150）の場合、それぞれ上限値 100、150が採用されます。</t>
  </si>
  <si>
    <t>＊Ｎ値が５未満の軟弱層の扱いは注記を参考にしてください。</t>
  </si>
  <si>
    <t>杭先端における単位面積あたりの極限支持力度</t>
  </si>
  <si>
    <t>C</t>
  </si>
  <si>
    <t>＊</t>
  </si>
  <si>
    <t>１−１　杭の諸元を入力</t>
  </si>
  <si>
    <t>・杭の種類（支持杭/摩擦杭）</t>
  </si>
  <si>
    <t>・杭長L</t>
  </si>
  <si>
    <t>・直径D</t>
  </si>
  <si>
    <t>・安全率n</t>
  </si>
  <si>
    <t>・安全率n安全率の補正係数γ</t>
  </si>
  <si>
    <t>　杭の諸元</t>
  </si>
  <si>
    <t>　地盤の諸元</t>
  </si>
  <si>
    <t>杭の長さLは、下欄の長さ「未満」でないと</t>
  </si>
  <si>
    <t>「木材の許容応力度」の関係からエラーになります</t>
  </si>
  <si>
    <t>杭先端まで</t>
  </si>
  <si>
    <t>底版幅Ｂ</t>
  </si>
  <si>
    <t>[丸太基礎杭設計マニュアル　表2.2.1.1]　最大周面摩擦力度(kN/m2)</t>
  </si>
  <si>
    <t>←この背景色が値入力用のセルとなります。</t>
  </si>
  <si>
    <t>＊</t>
  </si>
  <si>
    <t>「シートの保護」で値入力用セルのみを変更可能としてあります。</t>
  </si>
  <si>
    <t>支持杭</t>
  </si>
  <si>
    <t>・延長方向の杭間隔を仮定</t>
  </si>
  <si>
    <t>　　２－２へ戻り、延長方向の間隔を調整する。</t>
  </si>
  <si>
    <t>＊基準を満たさなかったら、支持杭の計算１−１へ戻る</t>
  </si>
  <si>
    <t>杭の間隔（擁壁延長方向）</t>
  </si>
  <si>
    <t>間隔Ｌ</t>
  </si>
  <si>
    <t>→杭の中心間隔と、仮定した延長方向の間隔を勘案し必要に応じて</t>
  </si>
  <si>
    <t>v1.0.0</t>
  </si>
  <si>
    <t>＊別途計測等で得られた地盤の粘着力（ｋＮ／㎡）　を用いる場合、Ｃに数値を入力します。</t>
  </si>
  <si>
    <t>　（入力があった場合、その値をfiとする）　</t>
  </si>
  <si>
    <t>v1.0.0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</si>
</sst>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numFmt numFmtId="178" formatCode="0_ "/>
    <numFmt numFmtId="179" formatCode="0.00E+00;&quot;䅍&quot;"/>
    <numFmt numFmtId="180" formatCode="0.0_ "/>
    <numFmt numFmtId="181" formatCode="0.00_ "/>
    <numFmt numFmtId="182" formatCode="0.000_ "/>
    <numFmt numFmtId="183" formatCode="0&quot;cm&quot;"/>
    <numFmt numFmtId="184" formatCode="0.00_ &quot;m&quot;"/>
    <numFmt numFmtId="185" formatCode="0_);[Red]\(0\)"/>
    <numFmt numFmtId="186" formatCode="0.0_);[Red]\(0.0\)"/>
  </numFmts>
  <fonts count="67">
    <font>
      <sz val="12"/>
      <color theme="1"/>
      <name val="Calibri"/>
      <family val="3"/>
    </font>
    <font>
      <sz val="12"/>
      <color indexed="8"/>
      <name val="ＭＳ Ｐゴシック"/>
      <family val="3"/>
    </font>
    <font>
      <sz val="10.5"/>
      <color indexed="8"/>
      <name val="Century"/>
      <family val="1"/>
    </font>
    <font>
      <vertAlign val="subscript"/>
      <sz val="10.5"/>
      <color indexed="8"/>
      <name val="Century"/>
      <family val="1"/>
    </font>
    <font>
      <vertAlign val="superscript"/>
      <sz val="10.5"/>
      <color indexed="8"/>
      <name val="Century"/>
      <family val="1"/>
    </font>
    <font>
      <sz val="6"/>
      <name val="ＭＳ Ｐゴシック"/>
      <family val="3"/>
    </font>
    <font>
      <sz val="5"/>
      <name val="Century"/>
      <family val="1"/>
    </font>
    <font>
      <sz val="11"/>
      <color indexed="8"/>
      <name val="ＭＳ 明朝"/>
      <family val="1"/>
    </font>
    <font>
      <vertAlign val="subscript"/>
      <sz val="11"/>
      <color indexed="8"/>
      <name val="ＭＳ 明朝"/>
      <family val="1"/>
    </font>
    <font>
      <vertAlign val="superscript"/>
      <sz val="11"/>
      <color indexed="8"/>
      <name val="ＭＳ 明朝"/>
      <family val="1"/>
    </font>
    <font>
      <sz val="11"/>
      <color indexed="8"/>
      <name val="ＭＳ ゴシック"/>
      <family val="3"/>
    </font>
    <font>
      <sz val="9"/>
      <color indexed="8"/>
      <name val="ＭＳ 明朝"/>
      <family val="1"/>
    </font>
    <font>
      <vertAlign val="subscript"/>
      <sz val="9"/>
      <color indexed="8"/>
      <name val="ＭＳ 明朝"/>
      <family val="1"/>
    </font>
    <font>
      <sz val="11"/>
      <name val="ＭＳ 明朝"/>
      <family val="1"/>
    </font>
    <font>
      <vertAlign val="subscript"/>
      <sz val="11"/>
      <name val="ＭＳ 明朝"/>
      <family val="1"/>
    </font>
    <font>
      <vertAlign val="superscript"/>
      <sz val="11"/>
      <name val="ＭＳ 明朝"/>
      <family val="1"/>
    </font>
    <font>
      <b/>
      <sz val="11"/>
      <color indexed="8"/>
      <name val="ＭＳ 明朝"/>
      <family val="1"/>
    </font>
    <font>
      <sz val="12"/>
      <color indexed="8"/>
      <name val="ＭＳ ゴシック"/>
      <family val="3"/>
    </font>
    <font>
      <sz val="8"/>
      <color indexed="8"/>
      <name val="ＭＳ 明朝"/>
      <family val="1"/>
    </font>
    <font>
      <sz val="14"/>
      <color indexed="8"/>
      <name val="ＭＳ Ｐゴシック"/>
      <family val="3"/>
    </font>
    <font>
      <sz val="9"/>
      <color indexed="10"/>
      <name val="ＭＳ 明朝"/>
      <family val="1"/>
    </font>
    <font>
      <sz val="9"/>
      <color indexed="8"/>
      <name val="ＭＳ Ｐゴシック"/>
      <family val="3"/>
    </font>
    <font>
      <sz val="10.5"/>
      <color indexed="8"/>
      <name val="ＭＳ 明朝"/>
      <family val="1"/>
    </font>
    <font>
      <b/>
      <sz val="18"/>
      <color indexed="8"/>
      <name val="ＭＳ Ｐゴシック"/>
      <family val="3"/>
    </font>
    <font>
      <sz val="9"/>
      <name val="ＭＳ 明朝"/>
      <family val="1"/>
    </font>
    <font>
      <sz val="11"/>
      <color indexed="8"/>
      <name val="ＭＳ Ｐ明朝"/>
      <family val="1"/>
    </font>
    <font>
      <b/>
      <sz val="12"/>
      <color indexed="10"/>
      <name val="ＭＳ Ｐゴシック"/>
      <family val="3"/>
    </font>
    <font>
      <b/>
      <sz val="12"/>
      <color indexed="10"/>
      <name val="ＭＳ ゴシック"/>
      <family val="3"/>
    </font>
    <font>
      <i/>
      <sz val="11"/>
      <color indexed="8"/>
      <name val="ＭＳ 明朝"/>
      <family val="1"/>
    </font>
    <font>
      <b/>
      <sz val="14"/>
      <color indexed="8"/>
      <name val="ＭＳ Ｐゴシック"/>
      <family val="3"/>
    </font>
    <font>
      <sz val="11"/>
      <color indexed="8"/>
      <name val="ＭＳ Ｐゴシック"/>
      <family val="3"/>
    </font>
    <font>
      <sz val="7"/>
      <color indexed="8"/>
      <name val="ＭＳ Ｐゴシック"/>
      <family val="3"/>
    </font>
    <font>
      <sz val="8"/>
      <color indexed="8"/>
      <name val="ＭＳ Ｐゴシック"/>
      <family val="3"/>
    </font>
    <font>
      <b/>
      <sz val="11"/>
      <color indexed="10"/>
      <name val="ＭＳ Ｐゴシック"/>
      <family val="3"/>
    </font>
    <font>
      <b/>
      <sz val="18"/>
      <color indexed="56"/>
      <name val="ＭＳ Ｐゴシック"/>
      <family val="3"/>
    </font>
    <font>
      <sz val="12"/>
      <color indexed="10"/>
      <name val="ＭＳ Ｐゴシック"/>
      <family val="3"/>
    </font>
    <font>
      <b/>
      <sz val="15"/>
      <color indexed="56"/>
      <name val="ＭＳ Ｐゴシック"/>
      <family val="3"/>
    </font>
    <font>
      <b/>
      <sz val="11"/>
      <color indexed="56"/>
      <name val="ＭＳ Ｐゴシック"/>
      <family val="3"/>
    </font>
    <font>
      <b/>
      <sz val="12"/>
      <color indexed="8"/>
      <name val="ＭＳ Ｐゴシック"/>
      <family val="3"/>
    </font>
    <font>
      <b/>
      <sz val="12"/>
      <color indexed="8"/>
      <name val="ＭＳ ゴシック"/>
      <family val="3"/>
    </font>
    <font>
      <strike/>
      <sz val="11"/>
      <color indexed="14"/>
      <name val="ＭＳ 明朝"/>
      <family val="1"/>
    </font>
    <font>
      <sz val="12"/>
      <color indexed="9"/>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3"/>
      <color indexed="56"/>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明朝"/>
      <family val="1"/>
    </font>
    <font>
      <sz val="10"/>
      <color indexed="8"/>
      <name val="Calibri"/>
      <family val="2"/>
    </font>
    <font>
      <sz val="12"/>
      <color theme="0"/>
      <name val="Calibri"/>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3"/>
      <color indexed="56"/>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thin"/>
      <bottom style="thin"/>
    </border>
    <border>
      <left style="hair"/>
      <right style="hair"/>
      <top style="thin"/>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3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61"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42">
    <xf numFmtId="0" fontId="0" fillId="0" borderId="0" xfId="0" applyFont="1" applyAlignment="1">
      <alignment/>
    </xf>
    <xf numFmtId="0" fontId="7" fillId="0" borderId="0" xfId="0" applyFont="1" applyAlignment="1">
      <alignment horizontal="left" vertical="center"/>
    </xf>
    <xf numFmtId="0" fontId="7" fillId="0" borderId="0" xfId="0" applyFont="1" applyAlignment="1">
      <alignment/>
    </xf>
    <xf numFmtId="0" fontId="7" fillId="0" borderId="0" xfId="0" applyFont="1" applyAlignment="1">
      <alignment horizontal="right" vertical="center"/>
    </xf>
    <xf numFmtId="0" fontId="7" fillId="0" borderId="0" xfId="0" applyFont="1" applyAlignment="1">
      <alignment horizontal="right"/>
    </xf>
    <xf numFmtId="0" fontId="16" fillId="0" borderId="0" xfId="0" applyFont="1" applyAlignment="1">
      <alignment horizontal="left" vertical="center"/>
    </xf>
    <xf numFmtId="0" fontId="7" fillId="33" borderId="0" xfId="0" applyFont="1" applyFill="1" applyAlignment="1">
      <alignment/>
    </xf>
    <xf numFmtId="0" fontId="17" fillId="0" borderId="0" xfId="0" applyFont="1" applyAlignment="1">
      <alignment horizontal="left" vertical="center"/>
    </xf>
    <xf numFmtId="178" fontId="7" fillId="0" borderId="0" xfId="0" applyNumberFormat="1" applyFont="1" applyAlignment="1">
      <alignment/>
    </xf>
    <xf numFmtId="176" fontId="7" fillId="0" borderId="0" xfId="0" applyNumberFormat="1" applyFont="1" applyAlignment="1">
      <alignment/>
    </xf>
    <xf numFmtId="0" fontId="7" fillId="0" borderId="0" xfId="0" applyFont="1" applyAlignment="1">
      <alignment/>
    </xf>
    <xf numFmtId="179" fontId="18" fillId="0" borderId="0" xfId="0" applyNumberFormat="1" applyFont="1" applyAlignment="1">
      <alignment/>
    </xf>
    <xf numFmtId="180" fontId="7" fillId="0" borderId="0" xfId="0" applyNumberFormat="1" applyFont="1" applyAlignment="1">
      <alignment/>
    </xf>
    <xf numFmtId="0" fontId="19" fillId="0" borderId="0" xfId="0" applyFont="1" applyAlignment="1">
      <alignment/>
    </xf>
    <xf numFmtId="181" fontId="7" fillId="0" borderId="0" xfId="0" applyNumberFormat="1" applyFont="1" applyAlignment="1">
      <alignment/>
    </xf>
    <xf numFmtId="0" fontId="11" fillId="33" borderId="0" xfId="0" applyFont="1" applyFill="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178" fontId="7" fillId="0" borderId="10" xfId="0" applyNumberFormat="1" applyFont="1" applyFill="1" applyBorder="1" applyAlignment="1">
      <alignment/>
    </xf>
    <xf numFmtId="0" fontId="20" fillId="0" borderId="0" xfId="0" applyFont="1" applyAlignment="1">
      <alignment/>
    </xf>
    <xf numFmtId="0" fontId="7" fillId="0" borderId="0" xfId="0" applyFont="1" applyBorder="1" applyAlignment="1">
      <alignment horizontal="center"/>
    </xf>
    <xf numFmtId="181" fontId="7" fillId="33" borderId="13" xfId="0" applyNumberFormat="1" applyFont="1" applyFill="1" applyBorder="1" applyAlignment="1">
      <alignment horizontal="right"/>
    </xf>
    <xf numFmtId="181" fontId="7" fillId="0" borderId="13" xfId="0" applyNumberFormat="1" applyFont="1" applyFill="1" applyBorder="1" applyAlignment="1">
      <alignment horizontal="right"/>
    </xf>
    <xf numFmtId="178" fontId="7" fillId="0" borderId="0" xfId="0" applyNumberFormat="1" applyFont="1" applyFill="1" applyBorder="1" applyAlignment="1">
      <alignment/>
    </xf>
    <xf numFmtId="181" fontId="7" fillId="0" borderId="0" xfId="0" applyNumberFormat="1" applyFont="1" applyFill="1" applyBorder="1" applyAlignment="1">
      <alignment horizontal="right"/>
    </xf>
    <xf numFmtId="0" fontId="7" fillId="0" borderId="0" xfId="0" applyFont="1" applyBorder="1" applyAlignment="1">
      <alignment horizontal="left"/>
    </xf>
    <xf numFmtId="0" fontId="11" fillId="0" borderId="0" xfId="0" applyFont="1" applyAlignment="1">
      <alignment horizontal="left" vertical="center"/>
    </xf>
    <xf numFmtId="0" fontId="7" fillId="33" borderId="13" xfId="0" applyFont="1" applyFill="1" applyBorder="1" applyAlignment="1">
      <alignment/>
    </xf>
    <xf numFmtId="181" fontId="7" fillId="33" borderId="13" xfId="0" applyNumberFormat="1" applyFont="1" applyFill="1" applyBorder="1" applyAlignment="1">
      <alignment/>
    </xf>
    <xf numFmtId="0" fontId="19" fillId="0" borderId="0" xfId="0" applyFont="1" applyBorder="1" applyAlignment="1">
      <alignment/>
    </xf>
    <xf numFmtId="180" fontId="7" fillId="0" borderId="13" xfId="0" applyNumberFormat="1" applyFont="1" applyBorder="1" applyAlignment="1">
      <alignment/>
    </xf>
    <xf numFmtId="180" fontId="7" fillId="0" borderId="0" xfId="0" applyNumberFormat="1" applyFont="1" applyBorder="1" applyAlignment="1">
      <alignment/>
    </xf>
    <xf numFmtId="0" fontId="7" fillId="33" borderId="0" xfId="0" applyFont="1" applyFill="1" applyAlignment="1">
      <alignment horizontal="right"/>
    </xf>
    <xf numFmtId="182" fontId="7" fillId="0" borderId="0" xfId="0" applyNumberFormat="1" applyFont="1" applyFill="1" applyBorder="1" applyAlignment="1">
      <alignment/>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center"/>
    </xf>
    <xf numFmtId="0" fontId="10"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xf>
    <xf numFmtId="181" fontId="7" fillId="0" borderId="0" xfId="0" applyNumberFormat="1" applyFont="1" applyAlignment="1">
      <alignment/>
    </xf>
    <xf numFmtId="0" fontId="7" fillId="0" borderId="13" xfId="0" applyFont="1" applyBorder="1" applyAlignment="1">
      <alignment/>
    </xf>
    <xf numFmtId="181" fontId="7" fillId="0" borderId="13" xfId="0" applyNumberFormat="1" applyFont="1" applyBorder="1" applyAlignment="1">
      <alignment horizontal="right" vertical="center"/>
    </xf>
    <xf numFmtId="181" fontId="7" fillId="0" borderId="13" xfId="0" applyNumberFormat="1" applyFont="1" applyBorder="1" applyAlignment="1">
      <alignment/>
    </xf>
    <xf numFmtId="178" fontId="7" fillId="0" borderId="13" xfId="0" applyNumberFormat="1" applyFont="1" applyBorder="1" applyAlignment="1">
      <alignment/>
    </xf>
    <xf numFmtId="0" fontId="11" fillId="0" borderId="0" xfId="0" applyFont="1" applyAlignment="1">
      <alignment/>
    </xf>
    <xf numFmtId="0" fontId="11" fillId="0" borderId="13" xfId="0" applyFont="1" applyBorder="1" applyAlignment="1">
      <alignment horizontal="center"/>
    </xf>
    <xf numFmtId="176" fontId="11" fillId="0" borderId="13" xfId="0" applyNumberFormat="1" applyFont="1" applyBorder="1" applyAlignment="1">
      <alignment horizontal="center"/>
    </xf>
    <xf numFmtId="178" fontId="11" fillId="0" borderId="0" xfId="0" applyNumberFormat="1" applyFont="1" applyAlignment="1">
      <alignment/>
    </xf>
    <xf numFmtId="14" fontId="0" fillId="0" borderId="0" xfId="0" applyNumberFormat="1" applyAlignment="1">
      <alignment/>
    </xf>
    <xf numFmtId="0" fontId="23" fillId="0" borderId="0" xfId="0" applyFont="1" applyAlignment="1">
      <alignment/>
    </xf>
    <xf numFmtId="0" fontId="7" fillId="0" borderId="14" xfId="0" applyFont="1" applyBorder="1" applyAlignment="1">
      <alignment horizontal="center"/>
    </xf>
    <xf numFmtId="0" fontId="13" fillId="0" borderId="0" xfId="0" applyFont="1" applyBorder="1" applyAlignment="1" quotePrefix="1">
      <alignment/>
    </xf>
    <xf numFmtId="0" fontId="7" fillId="0" borderId="0" xfId="0" applyFont="1" applyBorder="1" applyAlignment="1">
      <alignment/>
    </xf>
    <xf numFmtId="0" fontId="7" fillId="0" borderId="14" xfId="0" applyFont="1" applyBorder="1" applyAlignment="1" quotePrefix="1">
      <alignment horizontal="center"/>
    </xf>
    <xf numFmtId="0" fontId="7" fillId="0" borderId="0" xfId="0" applyFont="1" applyAlignment="1">
      <alignment/>
    </xf>
    <xf numFmtId="0" fontId="7" fillId="0" borderId="13" xfId="0" applyFont="1" applyBorder="1" applyAlignment="1">
      <alignment horizontal="center" vertical="center"/>
    </xf>
    <xf numFmtId="0" fontId="7" fillId="0" borderId="10" xfId="0" applyFont="1" applyBorder="1" applyAlignment="1">
      <alignment horizontal="center"/>
    </xf>
    <xf numFmtId="0" fontId="24" fillId="0" borderId="0" xfId="0" applyFont="1" applyAlignment="1">
      <alignment/>
    </xf>
    <xf numFmtId="0" fontId="11" fillId="0" borderId="0" xfId="0" applyFont="1" applyFill="1" applyAlignment="1">
      <alignment horizontal="left" vertical="center"/>
    </xf>
    <xf numFmtId="0" fontId="7" fillId="0" borderId="0" xfId="0" applyFont="1" applyFill="1" applyAlignment="1">
      <alignment/>
    </xf>
    <xf numFmtId="0" fontId="7" fillId="0" borderId="0" xfId="0" applyFont="1" applyAlignment="1">
      <alignment horizontal="right" vertical="center"/>
    </xf>
    <xf numFmtId="0" fontId="7" fillId="0" borderId="0" xfId="0" applyFont="1" applyAlignment="1">
      <alignment horizontal="left" vertical="center"/>
    </xf>
    <xf numFmtId="0" fontId="7" fillId="0" borderId="15" xfId="0" applyFont="1" applyBorder="1" applyAlignment="1">
      <alignment/>
    </xf>
    <xf numFmtId="0" fontId="18" fillId="0" borderId="13" xfId="0" applyFont="1" applyBorder="1" applyAlignment="1">
      <alignment horizontal="left" vertical="center"/>
    </xf>
    <xf numFmtId="0" fontId="7" fillId="0" borderId="13" xfId="0" applyFont="1" applyBorder="1" applyAlignment="1">
      <alignment horizontal="center" vertical="center"/>
    </xf>
    <xf numFmtId="0" fontId="11" fillId="0" borderId="13" xfId="0" applyFont="1" applyBorder="1" applyAlignment="1">
      <alignment horizontal="center" vertical="center" wrapText="1"/>
    </xf>
    <xf numFmtId="180" fontId="11" fillId="0" borderId="13" xfId="0" applyNumberFormat="1" applyFont="1" applyBorder="1" applyAlignment="1">
      <alignment horizontal="center" vertical="center" wrapText="1"/>
    </xf>
    <xf numFmtId="180" fontId="25" fillId="0" borderId="13" xfId="0" applyNumberFormat="1" applyFont="1" applyBorder="1" applyAlignment="1">
      <alignment horizontal="right" vertical="center"/>
    </xf>
    <xf numFmtId="0" fontId="7" fillId="0" borderId="0" xfId="0" applyFont="1" applyAlignment="1">
      <alignment horizontal="center"/>
    </xf>
    <xf numFmtId="0" fontId="0" fillId="0" borderId="0" xfId="0" applyAlignment="1">
      <alignment/>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xf>
    <xf numFmtId="0" fontId="26" fillId="0" borderId="0" xfId="0" applyFont="1" applyAlignment="1">
      <alignment/>
    </xf>
    <xf numFmtId="0" fontId="27" fillId="0" borderId="0" xfId="0" applyFont="1" applyAlignment="1">
      <alignment/>
    </xf>
    <xf numFmtId="0" fontId="7" fillId="34" borderId="0" xfId="0" applyFont="1" applyFill="1" applyAlignment="1">
      <alignment/>
    </xf>
    <xf numFmtId="183" fontId="7" fillId="34" borderId="0" xfId="0" applyNumberFormat="1" applyFont="1" applyFill="1" applyAlignment="1">
      <alignment/>
    </xf>
    <xf numFmtId="184" fontId="7" fillId="34" borderId="0" xfId="0" applyNumberFormat="1" applyFont="1" applyFill="1" applyAlignment="1">
      <alignment/>
    </xf>
    <xf numFmtId="0" fontId="28" fillId="0" borderId="0" xfId="0" applyFont="1" applyAlignment="1">
      <alignment/>
    </xf>
    <xf numFmtId="0" fontId="29" fillId="0" borderId="0" xfId="0" applyFont="1" applyAlignment="1">
      <alignment/>
    </xf>
    <xf numFmtId="0" fontId="7" fillId="0" borderId="0" xfId="0" applyFont="1" applyAlignment="1">
      <alignment vertical="top"/>
    </xf>
    <xf numFmtId="0" fontId="7" fillId="0" borderId="0" xfId="0" applyFont="1" applyAlignment="1">
      <alignment horizontal="left" vertical="top"/>
    </xf>
    <xf numFmtId="0" fontId="30" fillId="33" borderId="13" xfId="0" applyFont="1" applyFill="1" applyBorder="1" applyAlignment="1">
      <alignment horizontal="center" shrinkToFit="1"/>
    </xf>
    <xf numFmtId="0" fontId="31" fillId="33" borderId="13" xfId="0" applyFont="1" applyFill="1" applyBorder="1" applyAlignment="1">
      <alignment horizontal="center" shrinkToFit="1"/>
    </xf>
    <xf numFmtId="0" fontId="32" fillId="33" borderId="13" xfId="0" applyFont="1" applyFill="1" applyBorder="1" applyAlignment="1">
      <alignment horizontal="center" shrinkToFit="1"/>
    </xf>
    <xf numFmtId="0" fontId="21" fillId="33" borderId="13" xfId="0" applyFont="1" applyFill="1" applyBorder="1" applyAlignment="1">
      <alignment horizontal="center" shrinkToFit="1"/>
    </xf>
    <xf numFmtId="0" fontId="33" fillId="0" borderId="0" xfId="0" applyFont="1" applyAlignment="1">
      <alignment horizontal="left" vertical="center"/>
    </xf>
    <xf numFmtId="0" fontId="7" fillId="0" borderId="13" xfId="0" applyFont="1" applyBorder="1" applyAlignment="1">
      <alignment horizontal="center"/>
    </xf>
    <xf numFmtId="0" fontId="7" fillId="35" borderId="13" xfId="0" applyFont="1" applyFill="1" applyBorder="1" applyAlignment="1">
      <alignment/>
    </xf>
    <xf numFmtId="0" fontId="35" fillId="0" borderId="0" xfId="0" applyFont="1" applyAlignment="1">
      <alignment/>
    </xf>
    <xf numFmtId="0" fontId="39" fillId="0" borderId="0" xfId="0" applyFont="1" applyAlignment="1">
      <alignment horizontal="left" vertical="center"/>
    </xf>
    <xf numFmtId="176" fontId="7" fillId="35" borderId="13" xfId="0" applyNumberFormat="1" applyFont="1" applyFill="1" applyBorder="1" applyAlignment="1" applyProtection="1">
      <alignment horizontal="center"/>
      <protection locked="0"/>
    </xf>
    <xf numFmtId="176" fontId="7" fillId="35" borderId="13" xfId="0" applyNumberFormat="1" applyFont="1" applyFill="1" applyBorder="1" applyAlignment="1" applyProtection="1">
      <alignment/>
      <protection locked="0"/>
    </xf>
    <xf numFmtId="0" fontId="7" fillId="35" borderId="13" xfId="0" applyFont="1" applyFill="1" applyBorder="1" applyAlignment="1" applyProtection="1">
      <alignment/>
      <protection locked="0"/>
    </xf>
    <xf numFmtId="0" fontId="7" fillId="35" borderId="11" xfId="0" applyFont="1" applyFill="1" applyBorder="1" applyAlignment="1" applyProtection="1">
      <alignment/>
      <protection locked="0"/>
    </xf>
    <xf numFmtId="0" fontId="7" fillId="35" borderId="12" xfId="0" applyFont="1" applyFill="1" applyBorder="1" applyAlignment="1" applyProtection="1">
      <alignment horizontal="center"/>
      <protection locked="0"/>
    </xf>
    <xf numFmtId="178" fontId="7" fillId="35" borderId="12" xfId="0" applyNumberFormat="1" applyFont="1" applyFill="1" applyBorder="1" applyAlignment="1" applyProtection="1">
      <alignment/>
      <protection locked="0"/>
    </xf>
    <xf numFmtId="181" fontId="7" fillId="35" borderId="10" xfId="0" applyNumberFormat="1" applyFont="1" applyFill="1" applyBorder="1" applyAlignment="1" applyProtection="1">
      <alignment/>
      <protection locked="0"/>
    </xf>
    <xf numFmtId="180" fontId="7" fillId="35" borderId="10" xfId="0" applyNumberFormat="1" applyFont="1" applyFill="1" applyBorder="1" applyAlignment="1" applyProtection="1">
      <alignment/>
      <protection locked="0"/>
    </xf>
    <xf numFmtId="0" fontId="7" fillId="35" borderId="11" xfId="0" applyFont="1" applyFill="1" applyBorder="1" applyAlignment="1" applyProtection="1">
      <alignment/>
      <protection locked="0"/>
    </xf>
    <xf numFmtId="186" fontId="7" fillId="35" borderId="13" xfId="0" applyNumberFormat="1" applyFont="1" applyFill="1" applyBorder="1" applyAlignment="1" applyProtection="1">
      <alignment/>
      <protection locked="0"/>
    </xf>
    <xf numFmtId="181" fontId="7" fillId="35" borderId="13" xfId="0" applyNumberFormat="1" applyFont="1" applyFill="1" applyBorder="1" applyAlignment="1" applyProtection="1">
      <alignment/>
      <protection locked="0"/>
    </xf>
    <xf numFmtId="178" fontId="7" fillId="35" borderId="13" xfId="0" applyNumberFormat="1" applyFont="1" applyFill="1" applyBorder="1" applyAlignment="1" applyProtection="1">
      <alignment/>
      <protection locked="0"/>
    </xf>
    <xf numFmtId="0" fontId="0" fillId="0" borderId="0" xfId="0" applyAlignment="1">
      <alignment horizontal="center"/>
    </xf>
    <xf numFmtId="0" fontId="40" fillId="0" borderId="0" xfId="0" applyFont="1" applyAlignment="1">
      <alignment/>
    </xf>
    <xf numFmtId="0" fontId="11" fillId="0" borderId="0" xfId="0" applyFont="1" applyAlignment="1">
      <alignment/>
    </xf>
    <xf numFmtId="177" fontId="22" fillId="0" borderId="13" xfId="0" applyNumberFormat="1" applyFont="1" applyBorder="1" applyAlignment="1">
      <alignment vertical="center" wrapText="1"/>
    </xf>
    <xf numFmtId="0" fontId="0" fillId="0" borderId="13" xfId="0" applyBorder="1" applyAlignment="1">
      <alignment/>
    </xf>
    <xf numFmtId="0" fontId="7" fillId="0" borderId="16" xfId="0" applyFont="1" applyBorder="1" applyAlignment="1">
      <alignment/>
    </xf>
    <xf numFmtId="0" fontId="0" fillId="0" borderId="17" xfId="0" applyBorder="1" applyAlignment="1">
      <alignment/>
    </xf>
    <xf numFmtId="0" fontId="11" fillId="0" borderId="13" xfId="0" applyFont="1" applyBorder="1" applyAlignment="1">
      <alignment vertical="center"/>
    </xf>
    <xf numFmtId="0" fontId="21" fillId="0" borderId="13" xfId="0" applyFont="1" applyBorder="1" applyAlignment="1">
      <alignment vertical="center"/>
    </xf>
    <xf numFmtId="0" fontId="7" fillId="0" borderId="0" xfId="0" applyFont="1" applyAlignment="1">
      <alignment horizontal="right" vertical="center"/>
    </xf>
    <xf numFmtId="0" fontId="0" fillId="0" borderId="0" xfId="0" applyAlignment="1">
      <alignment vertical="center"/>
    </xf>
    <xf numFmtId="0" fontId="11" fillId="0" borderId="13" xfId="0" applyFont="1" applyBorder="1" applyAlignment="1">
      <alignment horizontal="center" vertical="center"/>
    </xf>
    <xf numFmtId="0" fontId="21" fillId="0" borderId="13" xfId="0" applyFont="1" applyBorder="1" applyAlignment="1">
      <alignment horizontal="center" vertical="center"/>
    </xf>
    <xf numFmtId="0" fontId="7" fillId="0" borderId="14" xfId="0" applyFont="1" applyBorder="1" applyAlignment="1">
      <alignment horizontal="center" shrinkToFit="1"/>
    </xf>
    <xf numFmtId="0" fontId="0" fillId="0" borderId="14" xfId="0" applyBorder="1" applyAlignment="1">
      <alignment horizontal="center" shrinkToFit="1"/>
    </xf>
    <xf numFmtId="0" fontId="39" fillId="0" borderId="0" xfId="0" applyFont="1" applyAlignment="1">
      <alignment horizontal="left" vertical="center"/>
    </xf>
    <xf numFmtId="0" fontId="38" fillId="0" borderId="0" xfId="0" applyFont="1" applyAlignment="1">
      <alignment/>
    </xf>
    <xf numFmtId="0" fontId="1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7" xfId="0" applyFont="1" applyBorder="1" applyAlignment="1">
      <alignment horizontal="center" vertical="center"/>
    </xf>
    <xf numFmtId="0" fontId="11"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1" fillId="0" borderId="16" xfId="0" applyFont="1" applyBorder="1" applyAlignment="1">
      <alignment horizontal="left" vertical="center" wrapText="1"/>
    </xf>
    <xf numFmtId="0" fontId="21" fillId="0" borderId="18" xfId="0" applyFont="1" applyBorder="1" applyAlignment="1">
      <alignment horizontal="left" vertical="center"/>
    </xf>
    <xf numFmtId="0" fontId="21" fillId="0" borderId="17" xfId="0" applyFont="1" applyBorder="1" applyAlignment="1">
      <alignment horizontal="left" vertical="center"/>
    </xf>
    <xf numFmtId="0" fontId="7"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7"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xdr:row>
      <xdr:rowOff>19050</xdr:rowOff>
    </xdr:from>
    <xdr:to>
      <xdr:col>9</xdr:col>
      <xdr:colOff>885825</xdr:colOff>
      <xdr:row>5</xdr:row>
      <xdr:rowOff>142875</xdr:rowOff>
    </xdr:to>
    <xdr:sp>
      <xdr:nvSpPr>
        <xdr:cNvPr id="1" name="Text Box 1"/>
        <xdr:cNvSpPr txBox="1">
          <a:spLocks noChangeArrowheads="1"/>
        </xdr:cNvSpPr>
      </xdr:nvSpPr>
      <xdr:spPr>
        <a:xfrm>
          <a:off x="1295400" y="752475"/>
          <a:ext cx="63817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当ファイルは、多くの設計者、現場監督員等に長野県産丸太を設計してもらうことを考え、「丸太基礎杭設計マニュアル」（平成</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月長野県林務部・長野県木材協同組合連合会）をもとに参考に作成したものですので、マニュアルを理解した上で御利用ください。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40</xdr:row>
      <xdr:rowOff>95250</xdr:rowOff>
    </xdr:from>
    <xdr:ext cx="5867400" cy="866775"/>
    <xdr:sp>
      <xdr:nvSpPr>
        <xdr:cNvPr id="1" name="テキスト ボックス 1"/>
        <xdr:cNvSpPr txBox="1">
          <a:spLocks noChangeArrowheads="1"/>
        </xdr:cNvSpPr>
      </xdr:nvSpPr>
      <xdr:spPr>
        <a:xfrm>
          <a:off x="895350" y="7791450"/>
          <a:ext cx="5867400" cy="866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Ｃは地盤の粘着力</a:t>
          </a:r>
          <a:r>
            <a:rPr lang="en-US" cap="none" sz="1000" b="0" i="0" u="none" baseline="0">
              <a:solidFill>
                <a:srgbClr val="000000"/>
              </a:solidFill>
              <a:latin typeface="Calibri"/>
              <a:ea typeface="Calibri"/>
              <a:cs typeface="Calibri"/>
            </a:rPr>
            <a:t>(kN/</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Calibri"/>
              <a:ea typeface="Calibri"/>
              <a:cs typeface="Calibri"/>
            </a:rPr>
            <a:t>N</a:t>
          </a:r>
          <a:r>
            <a:rPr lang="en-US" cap="none" sz="1000" b="0" i="0" u="none" baseline="0">
              <a:solidFill>
                <a:srgbClr val="000000"/>
              </a:solidFill>
              <a:latin typeface="ＭＳ Ｐ明朝"/>
              <a:ea typeface="ＭＳ Ｐ明朝"/>
              <a:cs typeface="ＭＳ Ｐ明朝"/>
            </a:rPr>
            <a:t>は標準貫入試験の</a:t>
          </a:r>
          <a:r>
            <a:rPr lang="en-US" cap="none" sz="1000" b="0" i="0" u="none" baseline="0">
              <a:solidFill>
                <a:srgbClr val="000000"/>
              </a:solidFill>
              <a:latin typeface="Calibri"/>
              <a:ea typeface="Calibri"/>
              <a:cs typeface="Calibri"/>
            </a:rPr>
            <a:t>N</a:t>
          </a:r>
          <a:r>
            <a:rPr lang="en-US" cap="none" sz="1000" b="0" i="0" u="none" baseline="0">
              <a:solidFill>
                <a:srgbClr val="000000"/>
              </a:solidFill>
              <a:latin typeface="ＭＳ Ｐ明朝"/>
              <a:ea typeface="ＭＳ Ｐ明朝"/>
              <a:cs typeface="ＭＳ Ｐ明朝"/>
            </a:rPr>
            <a:t>値とする。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また，</a:t>
          </a:r>
          <a:r>
            <a:rPr lang="en-US" cap="none" sz="1000" b="0" i="0" u="none" baseline="0">
              <a:solidFill>
                <a:srgbClr val="000000"/>
              </a:solidFill>
              <a:latin typeface="ＭＳ Ｐ明朝"/>
              <a:ea typeface="ＭＳ Ｐ明朝"/>
              <a:cs typeface="ＭＳ Ｐ明朝"/>
            </a:rPr>
            <a:t>N</a:t>
          </a:r>
          <a:r>
            <a:rPr lang="en-US" cap="none" sz="1000" b="0" i="0" u="none" baseline="0">
              <a:solidFill>
                <a:srgbClr val="000000"/>
              </a:solidFill>
              <a:latin typeface="ＭＳ Ｐ明朝"/>
              <a:ea typeface="ＭＳ Ｐ明朝"/>
              <a:cs typeface="ＭＳ Ｐ明朝"/>
            </a:rPr>
            <a:t>値が</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未満の軟弱層では粘着力を</a:t>
          </a:r>
          <a:r>
            <a:rPr lang="en-US" cap="none" sz="1000" b="0" i="0" u="none" baseline="0">
              <a:solidFill>
                <a:srgbClr val="000000"/>
              </a:solidFill>
              <a:latin typeface="ＭＳ Ｐ明朝"/>
              <a:ea typeface="ＭＳ Ｐ明朝"/>
              <a:cs typeface="ＭＳ Ｐ明朝"/>
            </a:rPr>
            <a:t>N</a:t>
          </a:r>
          <a:r>
            <a:rPr lang="en-US" cap="none" sz="1000" b="0" i="0" u="none" baseline="0">
              <a:solidFill>
                <a:srgbClr val="000000"/>
              </a:solidFill>
              <a:latin typeface="ＭＳ Ｐ明朝"/>
              <a:ea typeface="ＭＳ Ｐ明朝"/>
              <a:cs typeface="ＭＳ Ｐ明朝"/>
            </a:rPr>
            <a:t>値から推定することは困難なため，別途土質試験により粘着力を求め最大周面摩擦力度を推定することを基本とする。ただし，粘着力を直接求めることが困難な現場においては，ベーンせん断試験結果から粘着力を換算により求めることや，新潟県「基礎木杭設計指針」のように上表の最大周面摩擦力度への換算式を適用した事例が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I80"/>
  <sheetViews>
    <sheetView tabSelected="1" zoomScalePageLayoutView="0" workbookViewId="0" topLeftCell="A1">
      <selection activeCell="G8" sqref="G8"/>
    </sheetView>
  </sheetViews>
  <sheetFormatPr defaultColWidth="13.00390625" defaultRowHeight="15.75"/>
  <cols>
    <col min="1" max="1" width="13.00390625" style="0" customWidth="1"/>
    <col min="2" max="3" width="3.625" style="0" customWidth="1"/>
    <col min="4" max="4" width="3.875" style="0" customWidth="1"/>
  </cols>
  <sheetData>
    <row r="2" ht="21">
      <c r="B2" s="52" t="s">
        <v>186</v>
      </c>
    </row>
    <row r="3" ht="21">
      <c r="B3" s="52"/>
    </row>
    <row r="4" ht="21">
      <c r="B4" s="52"/>
    </row>
    <row r="5" ht="21">
      <c r="B5" s="52"/>
    </row>
    <row r="6" ht="21">
      <c r="B6" s="52"/>
    </row>
    <row r="7" ht="21">
      <c r="B7" s="52"/>
    </row>
    <row r="8" ht="21">
      <c r="B8" s="52"/>
    </row>
    <row r="9" spans="2:6" ht="17.25">
      <c r="B9" s="82"/>
      <c r="D9" t="s">
        <v>220</v>
      </c>
      <c r="E9" s="91"/>
      <c r="F9" s="92" t="s">
        <v>234</v>
      </c>
    </row>
    <row r="10" spans="2:5" ht="21">
      <c r="B10" s="52"/>
      <c r="D10" t="s">
        <v>235</v>
      </c>
      <c r="E10" s="92" t="s">
        <v>236</v>
      </c>
    </row>
    <row r="12" ht="14.25">
      <c r="B12" t="s">
        <v>187</v>
      </c>
    </row>
    <row r="14" ht="14.25">
      <c r="C14" t="s">
        <v>170</v>
      </c>
    </row>
    <row r="16" ht="14.25">
      <c r="C16" t="s">
        <v>221</v>
      </c>
    </row>
    <row r="18" ht="14.25">
      <c r="D18" t="s">
        <v>222</v>
      </c>
    </row>
    <row r="19" ht="14.25">
      <c r="D19" t="s">
        <v>223</v>
      </c>
    </row>
    <row r="20" ht="14.25">
      <c r="D20" t="s">
        <v>224</v>
      </c>
    </row>
    <row r="22" ht="14.25">
      <c r="C22" t="s">
        <v>188</v>
      </c>
    </row>
    <row r="24" ht="14.25">
      <c r="D24" t="s">
        <v>171</v>
      </c>
    </row>
    <row r="25" ht="14.25">
      <c r="D25" t="s">
        <v>172</v>
      </c>
    </row>
    <row r="26" ht="14.25">
      <c r="D26" t="s">
        <v>173</v>
      </c>
    </row>
    <row r="27" ht="14.25">
      <c r="D27" t="s">
        <v>174</v>
      </c>
    </row>
    <row r="28" ht="14.25">
      <c r="D28" t="s">
        <v>175</v>
      </c>
    </row>
    <row r="30" ht="14.25">
      <c r="D30" t="s">
        <v>176</v>
      </c>
    </row>
    <row r="31" ht="14.25">
      <c r="D31" t="s">
        <v>216</v>
      </c>
    </row>
    <row r="32" ht="14.25">
      <c r="D32" s="75" t="s">
        <v>245</v>
      </c>
    </row>
    <row r="33" ht="14.25">
      <c r="D33" s="75" t="s">
        <v>246</v>
      </c>
    </row>
    <row r="34" ht="14.25">
      <c r="D34" t="s">
        <v>177</v>
      </c>
    </row>
    <row r="35" ht="14.25">
      <c r="D35" t="s">
        <v>217</v>
      </c>
    </row>
    <row r="37" ht="14.25">
      <c r="C37" t="s">
        <v>189</v>
      </c>
    </row>
    <row r="39" ht="14.25">
      <c r="D39" t="s">
        <v>225</v>
      </c>
    </row>
    <row r="40" ht="14.25">
      <c r="D40" t="s">
        <v>226</v>
      </c>
    </row>
    <row r="42" ht="14.25">
      <c r="D42" t="s">
        <v>178</v>
      </c>
    </row>
    <row r="43" ht="14.25">
      <c r="D43" t="s">
        <v>179</v>
      </c>
    </row>
    <row r="44" ht="14.25">
      <c r="E44" t="s">
        <v>196</v>
      </c>
    </row>
    <row r="45" ht="14.25">
      <c r="E45" t="s">
        <v>198</v>
      </c>
    </row>
    <row r="47" ht="14.25">
      <c r="D47" t="s">
        <v>197</v>
      </c>
    </row>
    <row r="50" ht="14.25">
      <c r="B50" t="s">
        <v>190</v>
      </c>
    </row>
    <row r="52" ht="14.25">
      <c r="C52" t="s">
        <v>180</v>
      </c>
    </row>
    <row r="54" ht="14.25">
      <c r="C54" t="s">
        <v>191</v>
      </c>
    </row>
    <row r="56" ht="14.25">
      <c r="C56" t="s">
        <v>192</v>
      </c>
    </row>
    <row r="57" ht="14.25">
      <c r="D57" t="s">
        <v>181</v>
      </c>
    </row>
    <row r="58" ht="14.25">
      <c r="D58" t="s">
        <v>182</v>
      </c>
    </row>
    <row r="60" ht="14.25">
      <c r="D60" t="s">
        <v>238</v>
      </c>
    </row>
    <row r="61" ht="14.25">
      <c r="D61" t="s">
        <v>183</v>
      </c>
    </row>
    <row r="63" ht="14.25">
      <c r="C63" t="s">
        <v>193</v>
      </c>
    </row>
    <row r="65" ht="14.25">
      <c r="D65" t="s">
        <v>184</v>
      </c>
    </row>
    <row r="67" ht="14.25">
      <c r="D67" t="s">
        <v>185</v>
      </c>
    </row>
    <row r="68" ht="14.25">
      <c r="D68" t="s">
        <v>194</v>
      </c>
    </row>
    <row r="70" ht="14.25">
      <c r="D70" t="s">
        <v>243</v>
      </c>
    </row>
    <row r="71" ht="14.25">
      <c r="D71" t="s">
        <v>239</v>
      </c>
    </row>
    <row r="73" ht="14.25">
      <c r="D73" t="s">
        <v>240</v>
      </c>
    </row>
    <row r="76" spans="7:9" ht="14.25">
      <c r="G76" t="s">
        <v>195</v>
      </c>
      <c r="H76" t="s">
        <v>247</v>
      </c>
      <c r="I76" s="51">
        <v>41388</v>
      </c>
    </row>
    <row r="80" ht="14.25">
      <c r="H80" s="106"/>
    </row>
  </sheetData>
  <sheetProtection/>
  <printOptions/>
  <pageMargins left="0.75" right="0.75" top="1" bottom="1" header="0.3" footer="0.3"/>
  <pageSetup orientation="portrait" paperSize="9" scale="89" r:id="rId2"/>
  <colBreaks count="1" manualBreakCount="1">
    <brk id="10" max="73" man="1"/>
  </colBreaks>
  <drawing r:id="rId1"/>
</worksheet>
</file>

<file path=xl/worksheets/sheet2.xml><?xml version="1.0" encoding="utf-8"?>
<worksheet xmlns="http://schemas.openxmlformats.org/spreadsheetml/2006/main" xmlns:r="http://schemas.openxmlformats.org/officeDocument/2006/relationships">
  <dimension ref="B1:V133"/>
  <sheetViews>
    <sheetView zoomScalePageLayoutView="0" workbookViewId="0" topLeftCell="A4">
      <selection activeCell="C20" sqref="C20"/>
    </sheetView>
  </sheetViews>
  <sheetFormatPr defaultColWidth="12.875" defaultRowHeight="15.75"/>
  <cols>
    <col min="1" max="1" width="7.50390625" style="2" customWidth="1"/>
    <col min="2" max="2" width="3.875" style="2" customWidth="1"/>
    <col min="3" max="3" width="7.625" style="1" customWidth="1"/>
    <col min="4" max="34" width="7.625" style="2" customWidth="1"/>
    <col min="35" max="16384" width="12.875" style="2" customWidth="1"/>
  </cols>
  <sheetData>
    <row r="1" spans="2:12" ht="14.25">
      <c r="B1" s="121" t="str">
        <f>IF(Shubetsu="摩擦杭","摩擦杭の計算",IF(Shubetsu="支持杭","支持杭の計算"," ----&gt; 杭の種類を選択してください！"))</f>
        <v>支持杭の計算</v>
      </c>
      <c r="C1" s="122"/>
      <c r="D1" s="122"/>
      <c r="E1" s="122"/>
      <c r="F1" s="122"/>
      <c r="L1" s="108" t="s">
        <v>244</v>
      </c>
    </row>
    <row r="2" spans="7:18" ht="13.5">
      <c r="G2" s="21"/>
      <c r="Q2" s="62" t="s">
        <v>201</v>
      </c>
      <c r="R2" s="62"/>
    </row>
    <row r="3" spans="2:18" ht="13.5">
      <c r="B3" s="2" t="s">
        <v>68</v>
      </c>
      <c r="Q3" s="62" t="s">
        <v>229</v>
      </c>
      <c r="R3" s="62"/>
    </row>
    <row r="4" ht="13.5">
      <c r="Q4" s="2" t="s">
        <v>230</v>
      </c>
    </row>
    <row r="5" spans="2:18" ht="15" customHeight="1">
      <c r="B5" s="84" t="s">
        <v>227</v>
      </c>
      <c r="C5" s="2"/>
      <c r="Q5" s="78" t="s">
        <v>202</v>
      </c>
      <c r="R5" s="78" t="s">
        <v>203</v>
      </c>
    </row>
    <row r="6" spans="2:22" ht="15" customHeight="1">
      <c r="B6" s="84"/>
      <c r="C6" s="2"/>
      <c r="P6" s="13"/>
      <c r="Q6" s="79">
        <v>12</v>
      </c>
      <c r="R6" s="80">
        <v>3</v>
      </c>
      <c r="S6" s="13"/>
      <c r="T6" s="13"/>
      <c r="U6" s="13"/>
      <c r="V6" s="13"/>
    </row>
    <row r="7" spans="2:18" s="13" customFormat="1" ht="15" customHeight="1">
      <c r="B7" s="1"/>
      <c r="C7" s="71" t="s">
        <v>215</v>
      </c>
      <c r="D7" s="94" t="s">
        <v>237</v>
      </c>
      <c r="E7" s="2"/>
      <c r="F7" s="2"/>
      <c r="G7" s="2"/>
      <c r="H7" s="2"/>
      <c r="I7" s="2"/>
      <c r="J7" s="2"/>
      <c r="K7" s="2"/>
      <c r="L7" s="2"/>
      <c r="M7" s="2"/>
      <c r="N7" s="2"/>
      <c r="Q7" s="79">
        <v>13</v>
      </c>
      <c r="R7" s="80">
        <v>3.25</v>
      </c>
    </row>
    <row r="8" spans="3:18" s="13" customFormat="1" ht="15" customHeight="1">
      <c r="C8" s="21" t="s">
        <v>46</v>
      </c>
      <c r="D8" s="95">
        <v>3.8</v>
      </c>
      <c r="E8" s="26" t="s">
        <v>44</v>
      </c>
      <c r="Q8" s="79">
        <v>14</v>
      </c>
      <c r="R8" s="80">
        <v>3.5</v>
      </c>
    </row>
    <row r="9" spans="3:18" s="13" customFormat="1" ht="15" customHeight="1">
      <c r="C9" s="21" t="s">
        <v>47</v>
      </c>
      <c r="D9" s="96">
        <v>15</v>
      </c>
      <c r="E9" s="26" t="s">
        <v>45</v>
      </c>
      <c r="F9" s="77" t="str">
        <f>IF(L_r_Ratio&gt;=100,"L/r比が範囲外です。杭長と直径を見直してください","")</f>
        <v>L/r比が範囲外です。杭長と直径を見直してください</v>
      </c>
      <c r="Q9" s="79">
        <v>15</v>
      </c>
      <c r="R9" s="80">
        <v>3.75</v>
      </c>
    </row>
    <row r="10" spans="3:18" s="13" customFormat="1" ht="15" customHeight="1">
      <c r="C10" s="21"/>
      <c r="E10" s="26"/>
      <c r="Q10" s="79">
        <v>16</v>
      </c>
      <c r="R10" s="80">
        <v>4</v>
      </c>
    </row>
    <row r="11" spans="3:18" s="13" customFormat="1" ht="15" customHeight="1">
      <c r="C11" s="2" t="s">
        <v>54</v>
      </c>
      <c r="E11" s="26"/>
      <c r="Q11" s="79">
        <v>17</v>
      </c>
      <c r="R11" s="80">
        <v>4.25</v>
      </c>
    </row>
    <row r="12" spans="3:22" s="13" customFormat="1" ht="15" customHeight="1">
      <c r="C12" s="3" t="s">
        <v>53</v>
      </c>
      <c r="D12" s="34">
        <f>IF(Shubetsu="摩擦杭",0,IF(Shubetsu="支持杭",3.14*(D_cm/200)^2,"???"))</f>
        <v>0.0176625</v>
      </c>
      <c r="E12" s="26" t="s">
        <v>55</v>
      </c>
      <c r="F12" s="34">
        <f>IF(Shubetsu="摩擦杭","摩擦杭の場合は杭の先端面積を０で計算",IF(Shubetsu="支持杭",""," ！！杭の種類を選択してください"))</f>
      </c>
      <c r="Q12" s="79">
        <v>18</v>
      </c>
      <c r="R12" s="80">
        <v>4.5</v>
      </c>
      <c r="S12" s="2"/>
      <c r="U12" s="2"/>
      <c r="V12" s="2"/>
    </row>
    <row r="13" spans="3:22" s="13" customFormat="1" ht="15" customHeight="1">
      <c r="C13" s="3"/>
      <c r="D13" s="34"/>
      <c r="E13" s="26"/>
      <c r="F13" s="34"/>
      <c r="Q13" s="79">
        <v>19</v>
      </c>
      <c r="R13" s="80">
        <v>4.75</v>
      </c>
      <c r="S13" s="2"/>
      <c r="U13" s="2"/>
      <c r="V13" s="2"/>
    </row>
    <row r="14" spans="3:22" s="13" customFormat="1" ht="15" customHeight="1">
      <c r="C14" s="2" t="s">
        <v>56</v>
      </c>
      <c r="E14" s="26"/>
      <c r="P14" s="10"/>
      <c r="Q14" s="79">
        <v>20</v>
      </c>
      <c r="R14" s="80">
        <v>5</v>
      </c>
      <c r="S14" s="10"/>
      <c r="T14" s="10"/>
      <c r="U14" s="10"/>
      <c r="V14" s="10"/>
    </row>
    <row r="15" spans="3:22" s="13" customFormat="1" ht="15" customHeight="1">
      <c r="C15" s="3" t="s">
        <v>57</v>
      </c>
      <c r="D15" s="34">
        <f>3.14*(D_cm/100)</f>
        <v>0.471</v>
      </c>
      <c r="E15" s="26" t="s">
        <v>44</v>
      </c>
      <c r="O15" s="10"/>
      <c r="S15" s="2"/>
      <c r="U15" s="2"/>
      <c r="V15" s="2"/>
    </row>
    <row r="16" spans="2:22" s="10" customFormat="1" ht="15" customHeight="1">
      <c r="B16" s="13"/>
      <c r="C16" s="3"/>
      <c r="D16" s="34"/>
      <c r="E16" s="26"/>
      <c r="F16" s="13"/>
      <c r="G16" s="13"/>
      <c r="H16" s="13"/>
      <c r="I16" s="13"/>
      <c r="J16" s="13"/>
      <c r="K16" s="13"/>
      <c r="L16" s="13"/>
      <c r="M16" s="13"/>
      <c r="N16" s="13"/>
      <c r="O16" s="2"/>
      <c r="P16" s="2"/>
      <c r="Q16" s="2"/>
      <c r="R16" s="2"/>
      <c r="S16" s="2"/>
      <c r="T16" s="2"/>
      <c r="U16" s="2"/>
      <c r="V16" s="2"/>
    </row>
    <row r="17" spans="2:21" ht="15" customHeight="1">
      <c r="B17" s="83" t="s">
        <v>228</v>
      </c>
      <c r="C17" s="7"/>
      <c r="D17" s="10"/>
      <c r="E17" s="10"/>
      <c r="F17" s="10"/>
      <c r="G17" s="10"/>
      <c r="H17" s="10"/>
      <c r="I17" s="10"/>
      <c r="J17" s="10"/>
      <c r="K17" s="10"/>
      <c r="L17" s="10"/>
      <c r="M17" s="10"/>
      <c r="N17" s="10"/>
      <c r="Q17" s="10" t="s">
        <v>88</v>
      </c>
      <c r="R17" s="10"/>
      <c r="S17" s="10"/>
      <c r="T17" s="10"/>
      <c r="U17" s="10"/>
    </row>
    <row r="18" spans="2:21" ht="15" customHeight="1">
      <c r="B18" s="83"/>
      <c r="C18" s="7"/>
      <c r="D18" s="10"/>
      <c r="E18" s="10"/>
      <c r="F18" s="10"/>
      <c r="G18" s="10"/>
      <c r="H18" s="10"/>
      <c r="I18" s="10"/>
      <c r="J18" s="10"/>
      <c r="K18" s="10"/>
      <c r="L18" s="10"/>
      <c r="M18" s="10"/>
      <c r="N18" s="10"/>
      <c r="Q18" s="10"/>
      <c r="R18" s="10"/>
      <c r="S18" s="10"/>
      <c r="T18" s="10"/>
      <c r="U18" s="10"/>
    </row>
    <row r="19" spans="3:21" ht="15" customHeight="1">
      <c r="C19" s="17" t="s">
        <v>18</v>
      </c>
      <c r="D19" s="18" t="s">
        <v>19</v>
      </c>
      <c r="E19" s="18" t="s">
        <v>20</v>
      </c>
      <c r="F19" s="16" t="s">
        <v>24</v>
      </c>
      <c r="G19" s="59" t="s">
        <v>219</v>
      </c>
      <c r="H19" s="16" t="s">
        <v>40</v>
      </c>
      <c r="I19" s="16" t="s">
        <v>42</v>
      </c>
      <c r="J19" s="16" t="s">
        <v>49</v>
      </c>
      <c r="Q19" s="85" t="s">
        <v>25</v>
      </c>
      <c r="R19" s="86" t="s">
        <v>231</v>
      </c>
      <c r="S19" s="87" t="s">
        <v>28</v>
      </c>
      <c r="T19" s="88" t="s">
        <v>29</v>
      </c>
      <c r="U19" s="85" t="s">
        <v>33</v>
      </c>
    </row>
    <row r="20" spans="3:21" ht="15" customHeight="1">
      <c r="C20" s="97" t="s">
        <v>21</v>
      </c>
      <c r="D20" s="98" t="s">
        <v>1</v>
      </c>
      <c r="E20" s="99">
        <v>4</v>
      </c>
      <c r="F20" s="100">
        <v>2.3</v>
      </c>
      <c r="G20" s="101">
        <v>40</v>
      </c>
      <c r="H20" s="19">
        <f>IF(ISBLANK(G20),IF(D20="粘性土",IF(E20*10&gt;150,150,E20*10),IF(D20="砂質土",IF(E20*2&gt;100,100,E20*2),"")),G20)</f>
        <v>40</v>
      </c>
      <c r="I20" s="23">
        <f aca="true" t="shared" si="0" ref="I20:I30">IF(R20="","",F20-(Q20-R20))</f>
        <v>2.3</v>
      </c>
      <c r="J20" s="31">
        <f aca="true" t="shared" si="1" ref="J20:J30">IF(I20="","",H20*I20)</f>
        <v>92</v>
      </c>
      <c r="K20" s="60" t="str">
        <f>IF(ISBLANK(D20),"",IF(E20&lt;5," *N値が5未満","")&amp;IF(ISBLANK(G20),""," C値を採用"))</f>
        <v> *N値が5未満 C値を採用</v>
      </c>
      <c r="Q20" s="22">
        <f>F20</f>
        <v>2.3</v>
      </c>
      <c r="R20" s="22">
        <f>IF(Q20="","",IF(Q20&lt;L_m,Q20,L_m))</f>
        <v>2.3</v>
      </c>
      <c r="S20" s="29">
        <f aca="true" t="shared" si="2" ref="S20:S30">IF(R20="","",L_m-R20)</f>
        <v>1.5</v>
      </c>
      <c r="T20" s="28">
        <f aca="true" t="shared" si="3" ref="T20:T30">IF(S20="","",IF(L_４D_m&gt;S20,MIN(L_４D_m-S20,I20),""))</f>
      </c>
      <c r="U20" s="28">
        <f aca="true" t="shared" si="4" ref="U20:U30">IF(T20="","",E20*T20)</f>
      </c>
    </row>
    <row r="21" spans="3:21" ht="15" customHeight="1">
      <c r="C21" s="97" t="s">
        <v>22</v>
      </c>
      <c r="D21" s="98" t="s">
        <v>0</v>
      </c>
      <c r="E21" s="99">
        <v>8</v>
      </c>
      <c r="F21" s="100">
        <v>1.1</v>
      </c>
      <c r="G21" s="101"/>
      <c r="H21" s="19">
        <f aca="true" t="shared" si="5" ref="H21:H30">IF(ISBLANK(G21),IF(D21="粘性土",IF(E21*10&gt;150,150,E21*10),IF(D21="砂質土",IF(E21*2&gt;100,100,E21*2),"")),G21)</f>
        <v>16</v>
      </c>
      <c r="I21" s="23">
        <f t="shared" si="0"/>
        <v>1.1</v>
      </c>
      <c r="J21" s="31">
        <f t="shared" si="1"/>
        <v>17.6</v>
      </c>
      <c r="K21" s="60">
        <f aca="true" t="shared" si="6" ref="K21:K30">IF(ISBLANK(D21),"",IF(E21&lt;5," *N値が5未満","")&amp;IF(ISBLANK(G21),""," C値を採用"))</f>
      </c>
      <c r="Q21" s="22">
        <f aca="true" t="shared" si="7" ref="Q21:Q30">IF(ISBLANK(F21),"",Q20+F21)</f>
        <v>3.4</v>
      </c>
      <c r="R21" s="22">
        <f aca="true" t="shared" si="8" ref="R21:R30">IF(OR(Q21="",Q20&gt;=L_m),"",IF(Q21&lt;L_m,Q21,L_m))</f>
        <v>3.4</v>
      </c>
      <c r="S21" s="29">
        <f t="shared" si="2"/>
        <v>0.3999999999999999</v>
      </c>
      <c r="T21" s="28">
        <f t="shared" si="3"/>
        <v>0.20000000000000007</v>
      </c>
      <c r="U21" s="28">
        <f t="shared" si="4"/>
        <v>1.6000000000000005</v>
      </c>
    </row>
    <row r="22" spans="3:21" ht="15" customHeight="1">
      <c r="C22" s="97" t="s">
        <v>23</v>
      </c>
      <c r="D22" s="98" t="s">
        <v>0</v>
      </c>
      <c r="E22" s="99">
        <v>35</v>
      </c>
      <c r="F22" s="100">
        <v>0.5</v>
      </c>
      <c r="G22" s="101"/>
      <c r="H22" s="19">
        <f t="shared" si="5"/>
        <v>70</v>
      </c>
      <c r="I22" s="23">
        <f t="shared" si="0"/>
        <v>0.3999999999999999</v>
      </c>
      <c r="J22" s="31">
        <f t="shared" si="1"/>
        <v>27.999999999999993</v>
      </c>
      <c r="K22" s="60">
        <f t="shared" si="6"/>
      </c>
      <c r="Q22" s="22">
        <f t="shared" si="7"/>
        <v>3.9</v>
      </c>
      <c r="R22" s="22">
        <f t="shared" si="8"/>
        <v>3.8</v>
      </c>
      <c r="S22" s="29">
        <f t="shared" si="2"/>
        <v>0</v>
      </c>
      <c r="T22" s="28">
        <f t="shared" si="3"/>
        <v>0.3999999999999999</v>
      </c>
      <c r="U22" s="28">
        <f t="shared" si="4"/>
        <v>13.999999999999996</v>
      </c>
    </row>
    <row r="23" spans="3:21" ht="15" customHeight="1">
      <c r="C23" s="97" t="s">
        <v>41</v>
      </c>
      <c r="D23" s="98" t="s">
        <v>0</v>
      </c>
      <c r="E23" s="99">
        <v>51</v>
      </c>
      <c r="F23" s="100">
        <v>0.8</v>
      </c>
      <c r="G23" s="101">
        <v>102</v>
      </c>
      <c r="H23" s="19">
        <f>IF(ISBLANK(G23),IF(D23="粘性土",IF(E23*10&gt;150,150,E23*10),IF(D23="砂質土",IF(E23*2&gt;100,100,E23*2),"")),G23)</f>
        <v>102</v>
      </c>
      <c r="I23" s="23">
        <f t="shared" si="0"/>
      </c>
      <c r="J23" s="31">
        <f t="shared" si="1"/>
      </c>
      <c r="K23" s="60" t="str">
        <f t="shared" si="6"/>
        <v> C値を採用</v>
      </c>
      <c r="Q23" s="22">
        <f t="shared" si="7"/>
        <v>4.7</v>
      </c>
      <c r="R23" s="22">
        <f t="shared" si="8"/>
      </c>
      <c r="S23" s="29">
        <f t="shared" si="2"/>
      </c>
      <c r="T23" s="28">
        <f t="shared" si="3"/>
      </c>
      <c r="U23" s="28">
        <f t="shared" si="4"/>
      </c>
    </row>
    <row r="24" spans="3:21" ht="15" customHeight="1">
      <c r="C24" s="97" t="s">
        <v>43</v>
      </c>
      <c r="D24" s="98" t="s">
        <v>1</v>
      </c>
      <c r="E24" s="99">
        <v>16</v>
      </c>
      <c r="F24" s="100"/>
      <c r="G24" s="101"/>
      <c r="H24" s="19">
        <f>IF(ISBLANK(G24),IF(D24="粘性土",IF(E24*10&gt;150,150,E24*10),IF(D24="砂質土",IF(E24*2&gt;100,100,E24*2),"")),G24)</f>
        <v>150</v>
      </c>
      <c r="I24" s="23">
        <f t="shared" si="0"/>
      </c>
      <c r="J24" s="31">
        <f t="shared" si="1"/>
      </c>
      <c r="K24" s="60">
        <f t="shared" si="6"/>
      </c>
      <c r="Q24" s="22">
        <f t="shared" si="7"/>
      </c>
      <c r="R24" s="22">
        <f t="shared" si="8"/>
      </c>
      <c r="S24" s="29">
        <f t="shared" si="2"/>
      </c>
      <c r="T24" s="28">
        <f t="shared" si="3"/>
      </c>
      <c r="U24" s="28">
        <f t="shared" si="4"/>
      </c>
    </row>
    <row r="25" spans="3:21" ht="15" customHeight="1">
      <c r="C25" s="102" t="s">
        <v>214</v>
      </c>
      <c r="D25" s="98" t="s">
        <v>0</v>
      </c>
      <c r="E25" s="99">
        <v>4</v>
      </c>
      <c r="F25" s="100"/>
      <c r="G25" s="101"/>
      <c r="H25" s="19">
        <f t="shared" si="5"/>
        <v>8</v>
      </c>
      <c r="I25" s="23">
        <f t="shared" si="0"/>
      </c>
      <c r="J25" s="31">
        <f t="shared" si="1"/>
      </c>
      <c r="K25" s="60" t="str">
        <f t="shared" si="6"/>
        <v> *N値が5未満</v>
      </c>
      <c r="Q25" s="22">
        <f t="shared" si="7"/>
      </c>
      <c r="R25" s="22">
        <f t="shared" si="8"/>
      </c>
      <c r="S25" s="29">
        <f t="shared" si="2"/>
      </c>
      <c r="T25" s="28">
        <f t="shared" si="3"/>
      </c>
      <c r="U25" s="28">
        <f t="shared" si="4"/>
      </c>
    </row>
    <row r="26" spans="3:21" ht="15" customHeight="1">
      <c r="C26" s="97"/>
      <c r="D26" s="98"/>
      <c r="E26" s="99"/>
      <c r="F26" s="100"/>
      <c r="G26" s="101"/>
      <c r="H26" s="19">
        <f t="shared" si="5"/>
      </c>
      <c r="I26" s="23">
        <f t="shared" si="0"/>
      </c>
      <c r="J26" s="31">
        <f t="shared" si="1"/>
      </c>
      <c r="K26" s="60">
        <f t="shared" si="6"/>
      </c>
      <c r="Q26" s="22">
        <f t="shared" si="7"/>
      </c>
      <c r="R26" s="22">
        <f t="shared" si="8"/>
      </c>
      <c r="S26" s="29">
        <f t="shared" si="2"/>
      </c>
      <c r="T26" s="28">
        <f t="shared" si="3"/>
      </c>
      <c r="U26" s="28">
        <f t="shared" si="4"/>
      </c>
    </row>
    <row r="27" spans="3:21" ht="15" customHeight="1">
      <c r="C27" s="97"/>
      <c r="D27" s="98"/>
      <c r="E27" s="99"/>
      <c r="F27" s="100"/>
      <c r="G27" s="101"/>
      <c r="H27" s="19">
        <f t="shared" si="5"/>
      </c>
      <c r="I27" s="23">
        <f t="shared" si="0"/>
      </c>
      <c r="J27" s="31">
        <f t="shared" si="1"/>
      </c>
      <c r="K27" s="60">
        <f t="shared" si="6"/>
      </c>
      <c r="Q27" s="22">
        <f t="shared" si="7"/>
      </c>
      <c r="R27" s="22">
        <f t="shared" si="8"/>
      </c>
      <c r="S27" s="29">
        <f t="shared" si="2"/>
      </c>
      <c r="T27" s="28">
        <f t="shared" si="3"/>
      </c>
      <c r="U27" s="28">
        <f t="shared" si="4"/>
      </c>
    </row>
    <row r="28" spans="3:21" ht="15" customHeight="1">
      <c r="C28" s="97"/>
      <c r="D28" s="98"/>
      <c r="E28" s="99"/>
      <c r="F28" s="100"/>
      <c r="G28" s="101"/>
      <c r="H28" s="19">
        <f t="shared" si="5"/>
      </c>
      <c r="I28" s="23">
        <f t="shared" si="0"/>
      </c>
      <c r="J28" s="31">
        <f t="shared" si="1"/>
      </c>
      <c r="K28" s="60">
        <f t="shared" si="6"/>
      </c>
      <c r="O28" s="13"/>
      <c r="Q28" s="22">
        <f t="shared" si="7"/>
      </c>
      <c r="R28" s="22">
        <f t="shared" si="8"/>
      </c>
      <c r="S28" s="29">
        <f t="shared" si="2"/>
      </c>
      <c r="T28" s="28">
        <f t="shared" si="3"/>
      </c>
      <c r="U28" s="28">
        <f t="shared" si="4"/>
      </c>
    </row>
    <row r="29" spans="2:21" s="13" customFormat="1" ht="15" customHeight="1">
      <c r="B29" s="2"/>
      <c r="C29" s="97"/>
      <c r="D29" s="98"/>
      <c r="E29" s="99"/>
      <c r="F29" s="100"/>
      <c r="G29" s="101"/>
      <c r="H29" s="19">
        <f t="shared" si="5"/>
      </c>
      <c r="I29" s="23">
        <f t="shared" si="0"/>
      </c>
      <c r="J29" s="31">
        <f t="shared" si="1"/>
      </c>
      <c r="K29" s="60">
        <f t="shared" si="6"/>
      </c>
      <c r="L29" s="2"/>
      <c r="M29" s="2"/>
      <c r="N29" s="2"/>
      <c r="O29" s="2"/>
      <c r="Q29" s="22">
        <f t="shared" si="7"/>
      </c>
      <c r="R29" s="22">
        <f t="shared" si="8"/>
      </c>
      <c r="S29" s="29">
        <f t="shared" si="2"/>
      </c>
      <c r="T29" s="28">
        <f t="shared" si="3"/>
      </c>
      <c r="U29" s="28">
        <f t="shared" si="4"/>
      </c>
    </row>
    <row r="30" spans="3:21" ht="15" customHeight="1">
      <c r="C30" s="97"/>
      <c r="D30" s="98"/>
      <c r="E30" s="99"/>
      <c r="F30" s="100"/>
      <c r="G30" s="101"/>
      <c r="H30" s="19">
        <f t="shared" si="5"/>
      </c>
      <c r="I30" s="23">
        <f t="shared" si="0"/>
      </c>
      <c r="J30" s="31">
        <f t="shared" si="1"/>
      </c>
      <c r="K30" s="60">
        <f t="shared" si="6"/>
      </c>
      <c r="Q30" s="22">
        <f t="shared" si="7"/>
      </c>
      <c r="R30" s="22">
        <f t="shared" si="8"/>
      </c>
      <c r="S30" s="29">
        <f t="shared" si="2"/>
      </c>
      <c r="T30" s="28">
        <f t="shared" si="3"/>
      </c>
      <c r="U30" s="28">
        <f t="shared" si="4"/>
      </c>
    </row>
    <row r="31" spans="2:21" ht="15" customHeight="1">
      <c r="B31" s="13"/>
      <c r="C31" s="13"/>
      <c r="D31" s="13"/>
      <c r="E31" s="13"/>
      <c r="F31" s="13"/>
      <c r="G31" s="30"/>
      <c r="H31" s="25" t="s">
        <v>50</v>
      </c>
      <c r="I31" s="32">
        <f>SUM(J20:J30)</f>
        <v>137.6</v>
      </c>
      <c r="J31" s="13"/>
      <c r="K31" s="13"/>
      <c r="L31" s="13"/>
      <c r="M31" s="13"/>
      <c r="N31" s="13"/>
      <c r="Q31" s="15" t="s">
        <v>30</v>
      </c>
      <c r="R31" s="6">
        <f>COUNT(R20:R30)</f>
        <v>3</v>
      </c>
      <c r="S31" s="13"/>
      <c r="T31" s="33" t="s">
        <v>34</v>
      </c>
      <c r="U31" s="6">
        <f>SUM(U20:U30)</f>
        <v>15.599999999999998</v>
      </c>
    </row>
    <row r="32" spans="3:4" ht="15" customHeight="1">
      <c r="C32" s="3" t="s">
        <v>4</v>
      </c>
      <c r="D32" s="2" t="s">
        <v>5</v>
      </c>
    </row>
    <row r="33" spans="3:4" ht="15" customHeight="1">
      <c r="C33" s="3" t="s">
        <v>6</v>
      </c>
      <c r="D33" s="2" t="s">
        <v>7</v>
      </c>
    </row>
    <row r="34" ht="15" customHeight="1">
      <c r="D34" s="27" t="s">
        <v>48</v>
      </c>
    </row>
    <row r="35" ht="15" customHeight="1">
      <c r="D35" s="27" t="s">
        <v>199</v>
      </c>
    </row>
    <row r="36" ht="15" customHeight="1">
      <c r="D36" s="27"/>
    </row>
    <row r="37" ht="15" customHeight="1">
      <c r="D37" s="61" t="s">
        <v>233</v>
      </c>
    </row>
    <row r="38" spans="3:12" ht="15" customHeight="1">
      <c r="C38" s="126" t="s">
        <v>200</v>
      </c>
      <c r="D38" s="127"/>
      <c r="E38" s="127"/>
      <c r="F38" s="128"/>
      <c r="G38" s="123" t="s">
        <v>168</v>
      </c>
      <c r="H38" s="124"/>
      <c r="I38" s="124"/>
      <c r="J38" s="124"/>
      <c r="K38" s="124"/>
      <c r="L38" s="125"/>
    </row>
    <row r="39" spans="3:12" ht="15" customHeight="1">
      <c r="C39" s="129"/>
      <c r="D39" s="130"/>
      <c r="E39" s="130"/>
      <c r="F39" s="131"/>
      <c r="G39" s="117" t="s">
        <v>164</v>
      </c>
      <c r="H39" s="118"/>
      <c r="I39" s="118"/>
      <c r="J39" s="117" t="s">
        <v>165</v>
      </c>
      <c r="K39" s="118"/>
      <c r="L39" s="118"/>
    </row>
    <row r="40" spans="3:12" ht="26.25" customHeight="1">
      <c r="C40" s="132" t="s">
        <v>163</v>
      </c>
      <c r="D40" s="133"/>
      <c r="E40" s="133"/>
      <c r="F40" s="134"/>
      <c r="G40" s="135" t="s">
        <v>166</v>
      </c>
      <c r="H40" s="136"/>
      <c r="I40" s="136"/>
      <c r="J40" s="135" t="s">
        <v>167</v>
      </c>
      <c r="K40" s="136"/>
      <c r="L40" s="136"/>
    </row>
    <row r="41" spans="3:10" ht="15" customHeight="1">
      <c r="C41" s="2"/>
      <c r="G41" s="24"/>
      <c r="H41" s="47"/>
      <c r="J41" s="20"/>
    </row>
    <row r="42" spans="3:10" ht="15" customHeight="1">
      <c r="C42" s="2"/>
      <c r="G42" s="24"/>
      <c r="H42" s="47"/>
      <c r="J42" s="20"/>
    </row>
    <row r="43" spans="3:10" ht="15" customHeight="1">
      <c r="C43" s="2"/>
      <c r="G43" s="24"/>
      <c r="H43" s="47"/>
      <c r="J43" s="20"/>
    </row>
    <row r="44" spans="3:10" ht="15" customHeight="1">
      <c r="C44" s="2"/>
      <c r="G44" s="24"/>
      <c r="H44" s="47"/>
      <c r="J44" s="20"/>
    </row>
    <row r="45" spans="3:10" ht="15" customHeight="1">
      <c r="C45" s="2"/>
      <c r="G45" s="24"/>
      <c r="H45" s="47"/>
      <c r="J45" s="20"/>
    </row>
    <row r="46" spans="3:10" ht="15" customHeight="1">
      <c r="C46" s="2"/>
      <c r="G46" s="24"/>
      <c r="H46" s="47"/>
      <c r="J46" s="20"/>
    </row>
    <row r="47" ht="15" customHeight="1">
      <c r="C47" s="1" t="s">
        <v>17</v>
      </c>
    </row>
    <row r="48" spans="3:5" ht="15" customHeight="1">
      <c r="C48" s="4" t="s">
        <v>26</v>
      </c>
      <c r="D48" s="8">
        <f>D_cm*4</f>
        <v>60</v>
      </c>
      <c r="E48" s="2" t="s">
        <v>16</v>
      </c>
    </row>
    <row r="49" spans="3:4" ht="15" customHeight="1">
      <c r="C49" s="4"/>
      <c r="D49" s="8"/>
    </row>
    <row r="50" ht="15" customHeight="1">
      <c r="C50" s="2" t="s">
        <v>9</v>
      </c>
    </row>
    <row r="51" spans="3:10" ht="15" customHeight="1">
      <c r="C51" s="3" t="s">
        <v>27</v>
      </c>
      <c r="D51" s="8">
        <f ca="1">OFFSET(Nv_Base,Tip_Row,0)</f>
        <v>35</v>
      </c>
      <c r="J51" s="81"/>
    </row>
    <row r="52" spans="3:10" ht="15" customHeight="1">
      <c r="C52" s="3"/>
      <c r="D52" s="8"/>
      <c r="J52" s="81"/>
    </row>
    <row r="53" ht="15" customHeight="1">
      <c r="C53" s="2" t="s">
        <v>10</v>
      </c>
    </row>
    <row r="54" spans="3:8" ht="15" customHeight="1">
      <c r="C54" s="115" t="s">
        <v>31</v>
      </c>
      <c r="D54" s="119" t="str">
        <f>IF(T20="","",TEXT(T20,"0.00")&amp;"×"&amp;E20)&amp;IF(T21="","",IF(T20="",""," + ")&amp;TEXT(T21,"0.00")&amp;"×"&amp;E21)&amp;IF(T22="","",IF(T21="",""," + ")&amp;TEXT(T22,"0.00")&amp;"×"&amp;E22)&amp;IF(T23="","",IF(T22="",""," + ")&amp;TEXT(T23,"0.00")&amp;"×"&amp;E23)&amp;IF(T24="","",IF(T23="",""," + ")&amp;TEXT(T23,"0.00")&amp;"×"&amp;E23)&amp;IF(T24="","",IF(T23="",""," + ")&amp;TEXT(T24,"0.00")&amp;"×"&amp;E24)&amp;IF(T25="","",IF(T24="",""," + ")&amp;TEXT(T25,"0.00")&amp;"×"&amp;E25)&amp;IF(T26="","",IF(T25="",""," + ")&amp;TEXT(T26,"0.00")&amp;"×"&amp;E26)&amp;IF(T27="","",IF(T26="",""," + ")&amp;TEXT(T27,"0.00")&amp;"×"&amp;E27)&amp;IF(T28="","",IF(T27="",""," + ")&amp;TEXT(T28,"0.00")&amp;"×"&amp;E28)&amp;IF(T29="","",IF(T28="",""," + ")&amp;TEXT(T29,"0.00")&amp;"×"&amp;E29)&amp;IF(T30="","",IF(T29="",""," + ")&amp;TEXT(T30,"0.00")&amp;"×"&amp;E30)</f>
        <v>0.20×8 + 0.40×35</v>
      </c>
      <c r="E54" s="120"/>
      <c r="F54" s="120"/>
      <c r="G54" s="120"/>
      <c r="H54" s="120"/>
    </row>
    <row r="55" spans="3:6" ht="15" customHeight="1">
      <c r="C55" s="116"/>
      <c r="F55" s="14">
        <f>L_４D_m</f>
        <v>0.6</v>
      </c>
    </row>
    <row r="56" spans="3:4" ht="15" customHeight="1">
      <c r="C56" s="4" t="s">
        <v>11</v>
      </c>
      <c r="D56" s="8">
        <f>ROUNDDOWN(Sigma_LN/L_４D_m,0)</f>
        <v>26</v>
      </c>
    </row>
    <row r="57" spans="3:4" ht="15" customHeight="1">
      <c r="C57" s="4"/>
      <c r="D57" s="8"/>
    </row>
    <row r="58" ht="15" customHeight="1">
      <c r="C58" s="2" t="s">
        <v>8</v>
      </c>
    </row>
    <row r="59" spans="3:6" ht="24">
      <c r="C59" s="1" t="s">
        <v>32</v>
      </c>
      <c r="D59" s="1" t="s">
        <v>35</v>
      </c>
      <c r="F59" s="2" t="str">
        <f>"("&amp;D51&amp;" + "&amp;D56&amp;")÷２"</f>
        <v>(35 + 26)÷２</v>
      </c>
    </row>
    <row r="60" spans="3:4" ht="15" customHeight="1">
      <c r="C60" s="4" t="s">
        <v>11</v>
      </c>
      <c r="D60" s="12">
        <f>(D51+D56)/2</f>
        <v>30.5</v>
      </c>
    </row>
    <row r="61" spans="3:4" ht="15" customHeight="1">
      <c r="C61" s="4"/>
      <c r="D61" s="12"/>
    </row>
    <row r="62" ht="15" customHeight="1">
      <c r="C62" s="2" t="s">
        <v>218</v>
      </c>
    </row>
    <row r="63" ht="24.75">
      <c r="C63" s="1" t="s">
        <v>36</v>
      </c>
    </row>
    <row r="64" spans="3:4" ht="15" customHeight="1">
      <c r="C64" s="4" t="s">
        <v>37</v>
      </c>
      <c r="D64" s="2" t="str">
        <f>"100 × "&amp;D60</f>
        <v>100 × 30.5</v>
      </c>
    </row>
    <row r="65" spans="3:7" ht="15" customHeight="1">
      <c r="C65" s="4" t="s">
        <v>11</v>
      </c>
      <c r="D65" s="8">
        <f>100*D60</f>
        <v>3050</v>
      </c>
      <c r="E65" s="4" t="s">
        <v>38</v>
      </c>
      <c r="G65" s="2">
        <f>IF(Shubetsu="摩擦杭","*摩擦杭なので算入しない","")</f>
      </c>
    </row>
    <row r="66" spans="3:5" ht="15" customHeight="1">
      <c r="C66" s="4"/>
      <c r="D66" s="8"/>
      <c r="E66" s="1"/>
    </row>
    <row r="67" ht="15" customHeight="1">
      <c r="C67" s="35" t="s">
        <v>39</v>
      </c>
    </row>
    <row r="68" spans="3:4" ht="15" customHeight="1">
      <c r="C68" s="3" t="s">
        <v>52</v>
      </c>
      <c r="D68" s="1" t="s">
        <v>51</v>
      </c>
    </row>
    <row r="69" spans="3:4" ht="15" customHeight="1">
      <c r="C69" s="4" t="s">
        <v>11</v>
      </c>
      <c r="D69" s="2" t="str">
        <f>q_d&amp;"×"&amp;A_m2&amp;"＋"&amp;U_m&amp;"×"&amp;Sigma_fi_Li</f>
        <v>3050×0.0176625＋0.471×137.6</v>
      </c>
    </row>
    <row r="70" spans="3:5" ht="15" customHeight="1">
      <c r="C70" s="4" t="s">
        <v>11</v>
      </c>
      <c r="D70" s="14">
        <f>ROUND(q_d*A_m2+U_m*Sigma_fi_Li,2)</f>
        <v>118.68</v>
      </c>
      <c r="E70" s="2" t="s">
        <v>65</v>
      </c>
    </row>
    <row r="71" spans="3:4" ht="15" customHeight="1">
      <c r="C71" s="4"/>
      <c r="D71" s="14"/>
    </row>
    <row r="72" spans="3:4" ht="15" customHeight="1">
      <c r="C72" s="4"/>
      <c r="D72" s="14"/>
    </row>
    <row r="73" ht="15" customHeight="1"/>
    <row r="74" ht="15" customHeight="1">
      <c r="B74" s="2" t="s">
        <v>67</v>
      </c>
    </row>
    <row r="75" ht="15" customHeight="1"/>
    <row r="76" ht="15" customHeight="1">
      <c r="C76" s="1" t="s">
        <v>58</v>
      </c>
    </row>
    <row r="77" spans="3:4" ht="15" customHeight="1">
      <c r="C77" s="3" t="s">
        <v>59</v>
      </c>
      <c r="D77" s="96">
        <v>3</v>
      </c>
    </row>
    <row r="78" spans="6:8" ht="15" customHeight="1">
      <c r="F78" s="47" t="s">
        <v>152</v>
      </c>
      <c r="G78" s="47"/>
      <c r="H78" s="47"/>
    </row>
    <row r="79" spans="6:8" ht="15" customHeight="1">
      <c r="F79" s="113" t="s">
        <v>149</v>
      </c>
      <c r="G79" s="114"/>
      <c r="H79" s="48" t="s">
        <v>153</v>
      </c>
    </row>
    <row r="80" spans="6:8" ht="15" customHeight="1">
      <c r="F80" s="113" t="s">
        <v>150</v>
      </c>
      <c r="G80" s="114"/>
      <c r="H80" s="48">
        <v>3</v>
      </c>
    </row>
    <row r="81" spans="6:8" ht="15" customHeight="1">
      <c r="F81" s="113" t="s">
        <v>151</v>
      </c>
      <c r="G81" s="114"/>
      <c r="H81" s="48">
        <v>2</v>
      </c>
    </row>
    <row r="82" ht="15" customHeight="1">
      <c r="D82" s="27" t="s">
        <v>2</v>
      </c>
    </row>
    <row r="83" ht="15" customHeight="1">
      <c r="D83" s="27"/>
    </row>
    <row r="84" ht="15" customHeight="1">
      <c r="C84" s="1" t="s">
        <v>60</v>
      </c>
    </row>
    <row r="85" spans="3:4" ht="15" customHeight="1">
      <c r="C85" s="3" t="s">
        <v>61</v>
      </c>
      <c r="D85" s="96">
        <v>1</v>
      </c>
    </row>
    <row r="86" ht="15" customHeight="1">
      <c r="F86" s="47" t="s">
        <v>154</v>
      </c>
    </row>
    <row r="87" spans="6:8" ht="15" customHeight="1">
      <c r="F87" s="113" t="s">
        <v>155</v>
      </c>
      <c r="G87" s="114"/>
      <c r="H87" s="48" t="s">
        <v>158</v>
      </c>
    </row>
    <row r="88" spans="6:8" ht="15" customHeight="1">
      <c r="F88" s="113" t="s">
        <v>156</v>
      </c>
      <c r="G88" s="114"/>
      <c r="H88" s="49">
        <v>1</v>
      </c>
    </row>
    <row r="89" spans="6:8" ht="15" customHeight="1">
      <c r="F89" s="113" t="s">
        <v>157</v>
      </c>
      <c r="G89" s="114"/>
      <c r="H89" s="49">
        <v>1.2</v>
      </c>
    </row>
    <row r="90" ht="15" customHeight="1">
      <c r="D90" s="27"/>
    </row>
    <row r="91" spans="3:4" ht="15" customHeight="1">
      <c r="C91" s="1" t="s">
        <v>66</v>
      </c>
      <c r="D91" s="27"/>
    </row>
    <row r="92" spans="3:4" ht="15" customHeight="1">
      <c r="C92" s="3" t="s">
        <v>63</v>
      </c>
      <c r="D92" s="1" t="s">
        <v>62</v>
      </c>
    </row>
    <row r="93" spans="3:4" ht="15" customHeight="1">
      <c r="C93" s="4" t="s">
        <v>11</v>
      </c>
      <c r="D93" s="2" t="str">
        <f>"("&amp;Ganma_safe&amp;"/"&amp;n_safe&amp;")×"&amp;Ru_Shiji</f>
        <v>(1/3)×118.68</v>
      </c>
    </row>
    <row r="94" spans="3:5" ht="15" customHeight="1">
      <c r="C94" s="4" t="s">
        <v>11</v>
      </c>
      <c r="D94" s="14">
        <f>ROUND((Ganma_safe/n_safe)*Ru_Shiji,2)</f>
        <v>39.56</v>
      </c>
      <c r="E94" s="2" t="s">
        <v>64</v>
      </c>
    </row>
    <row r="95" ht="15" customHeight="1"/>
    <row r="96" spans="2:3" ht="15" customHeight="1">
      <c r="B96" s="1" t="s">
        <v>69</v>
      </c>
      <c r="C96" s="2"/>
    </row>
    <row r="97" ht="15" customHeight="1">
      <c r="C97" s="5"/>
    </row>
    <row r="98" ht="15" customHeight="1">
      <c r="C98" s="2" t="s">
        <v>159</v>
      </c>
    </row>
    <row r="99" spans="4:7" ht="15" customHeight="1">
      <c r="D99" s="111" t="s">
        <v>160</v>
      </c>
      <c r="E99" s="112"/>
      <c r="F99" s="111" t="s">
        <v>161</v>
      </c>
      <c r="G99" s="112"/>
    </row>
    <row r="100" spans="4:7" ht="15" customHeight="1">
      <c r="D100" s="109" t="s">
        <v>3</v>
      </c>
      <c r="E100" s="110"/>
      <c r="F100" s="109" t="s">
        <v>162</v>
      </c>
      <c r="G100" s="110"/>
    </row>
    <row r="101" ht="15" customHeight="1">
      <c r="D101" s="27" t="s">
        <v>70</v>
      </c>
    </row>
    <row r="102" ht="15" customHeight="1">
      <c r="D102" s="27"/>
    </row>
    <row r="103" spans="3:4" ht="15" customHeight="1">
      <c r="C103" s="1" t="s">
        <v>72</v>
      </c>
      <c r="D103" s="27"/>
    </row>
    <row r="104" spans="3:7" ht="15" customHeight="1">
      <c r="C104" s="3" t="s">
        <v>73</v>
      </c>
      <c r="D104" s="2" t="s">
        <v>71</v>
      </c>
      <c r="F104" s="9">
        <f>PI()*(D_mm^2)/4</f>
        <v>17671.458676442588</v>
      </c>
      <c r="G104" s="2" t="s">
        <v>74</v>
      </c>
    </row>
    <row r="105" spans="3:6" ht="15" customHeight="1">
      <c r="C105" s="3"/>
      <c r="F105" s="9"/>
    </row>
    <row r="106" spans="3:6" ht="15" customHeight="1">
      <c r="C106" s="2" t="s">
        <v>12</v>
      </c>
      <c r="F106" s="9"/>
    </row>
    <row r="107" spans="3:5" ht="15" customHeight="1">
      <c r="C107" s="3" t="s">
        <v>75</v>
      </c>
      <c r="D107" s="2">
        <f>L_mm</f>
        <v>3800</v>
      </c>
      <c r="E107" s="2" t="s">
        <v>76</v>
      </c>
    </row>
    <row r="108" ht="15" customHeight="1">
      <c r="C108" s="3"/>
    </row>
    <row r="109" ht="15" customHeight="1">
      <c r="C109" s="1" t="s">
        <v>79</v>
      </c>
    </row>
    <row r="110" spans="3:5" ht="15" customHeight="1">
      <c r="C110" s="3" t="s">
        <v>80</v>
      </c>
      <c r="D110" s="2">
        <f>D_mm</f>
        <v>150</v>
      </c>
      <c r="E110" s="2" t="s">
        <v>76</v>
      </c>
    </row>
    <row r="111" ht="15" customHeight="1">
      <c r="C111" s="3"/>
    </row>
    <row r="112" ht="15" customHeight="1">
      <c r="C112" s="1" t="s">
        <v>77</v>
      </c>
    </row>
    <row r="113" spans="3:4" ht="15" customHeight="1">
      <c r="C113" s="3" t="s">
        <v>78</v>
      </c>
      <c r="D113" s="2" t="s">
        <v>84</v>
      </c>
    </row>
    <row r="114" spans="3:7" ht="15" customHeight="1">
      <c r="C114" s="3" t="s">
        <v>11</v>
      </c>
      <c r="D114" s="11">
        <f>(3.14*(D_mm^4))/64</f>
        <v>24837890.625</v>
      </c>
      <c r="E114" s="1" t="s">
        <v>82</v>
      </c>
      <c r="F114" s="11"/>
      <c r="G114" s="1"/>
    </row>
    <row r="115" spans="3:7" ht="15" customHeight="1">
      <c r="C115" s="3"/>
      <c r="D115" s="11"/>
      <c r="E115" s="1"/>
      <c r="F115" s="11"/>
      <c r="G115" s="1"/>
    </row>
    <row r="116" spans="3:14" ht="15" customHeight="1">
      <c r="C116" s="1" t="s">
        <v>81</v>
      </c>
      <c r="F116" s="11"/>
      <c r="G116" s="1"/>
      <c r="N116" s="57"/>
    </row>
    <row r="117" spans="3:9" ht="15" customHeight="1">
      <c r="C117" s="3" t="s">
        <v>83</v>
      </c>
      <c r="D117" s="2" t="s">
        <v>85</v>
      </c>
      <c r="I117" s="10"/>
    </row>
    <row r="118" spans="3:5" ht="15" customHeight="1">
      <c r="C118" s="3" t="s">
        <v>11</v>
      </c>
      <c r="D118" s="12">
        <f>SQRT(D114/F104)</f>
        <v>37.49049334405058</v>
      </c>
      <c r="E118" s="2" t="s">
        <v>76</v>
      </c>
    </row>
    <row r="119" ht="15" customHeight="1"/>
    <row r="120" spans="3:5" ht="15" customHeight="1">
      <c r="C120" s="4" t="s">
        <v>86</v>
      </c>
      <c r="D120" s="8">
        <f>D107/D118</f>
        <v>101.35902894441446</v>
      </c>
      <c r="E120" s="2" t="str">
        <f>IF(D120&lt;100," で100を下回り、式の適用範囲である。","となり、100以上なので式が適用できない。")</f>
        <v>となり、100以上なので式が適用できない。</v>
      </c>
    </row>
    <row r="121" ht="15" customHeight="1">
      <c r="F121" s="76" t="str">
        <f>IF(L_r_Ratio&gt;=100,"L/r比が範囲外です","")</f>
        <v>L/r比が範囲外です</v>
      </c>
    </row>
    <row r="122" ht="15" customHeight="1">
      <c r="C122" s="35" t="s">
        <v>87</v>
      </c>
    </row>
    <row r="123" ht="15" customHeight="1">
      <c r="C123" s="1" t="s">
        <v>15</v>
      </c>
    </row>
    <row r="124" spans="3:4" ht="15" customHeight="1">
      <c r="C124" s="3" t="s">
        <v>11</v>
      </c>
      <c r="D124" s="2" t="str">
        <f>"[7-0.192×"&amp;L_mm&amp;"/"&amp;D_mm&amp;")]×"&amp;D_mm&amp;"^2 ×π/4"</f>
        <v>[7-0.192×3800/150)]×150^2 ×π/4</v>
      </c>
    </row>
    <row r="125" spans="3:5" ht="15" customHeight="1">
      <c r="C125" s="3" t="s">
        <v>11</v>
      </c>
      <c r="D125" s="8">
        <f>(7-0.192*L_mm/D_mm)*F104</f>
        <v>37746.23573288137</v>
      </c>
      <c r="E125" s="2" t="s">
        <v>13</v>
      </c>
    </row>
    <row r="126" spans="3:5" ht="15" customHeight="1">
      <c r="C126" s="3" t="s">
        <v>11</v>
      </c>
      <c r="D126" s="14">
        <f>ROUND(D125/1000,2)</f>
        <v>37.75</v>
      </c>
      <c r="E126" s="2" t="s">
        <v>14</v>
      </c>
    </row>
    <row r="127" ht="15" customHeight="1"/>
    <row r="128" ht="15" customHeight="1">
      <c r="B128" s="2" t="s">
        <v>89</v>
      </c>
    </row>
    <row r="129" ht="15" customHeight="1"/>
    <row r="130" spans="4:6" ht="15" customHeight="1">
      <c r="D130" s="36" t="str">
        <f>"Ra:"&amp;Ra_val&amp;"kN"</f>
        <v>Ra:39.56kN</v>
      </c>
      <c r="E130" s="37" t="str">
        <f>IF(Ra_val&lt;=Raw_val,"≦","&gt;")</f>
        <v>&gt;</v>
      </c>
      <c r="F130" s="38" t="str">
        <f>"Raw:"&amp;Raw_val&amp;"kN"</f>
        <v>Raw:37.75kN</v>
      </c>
    </row>
    <row r="131" ht="15" customHeight="1"/>
    <row r="132" ht="15" customHeight="1">
      <c r="C132" s="1" t="str">
        <f>IF(Raw_val&gt;Ra_val," 材料特性による木杭の許容支持力Ra＞地盤より求めた許容支持力Raw　を確認できたため"," 材料特性による許容支持力が地盤より求めた許容支持力を下回ったため")</f>
        <v> 材料特性による許容支持力が地盤より求めた許容支持力を下回ったため</v>
      </c>
    </row>
    <row r="133" ht="15" customHeight="1">
      <c r="C133" s="1" t="str">
        <f>" 杭１本あたりの許容支持力は、"&amp;IF(E130="≦",Ra_val,IF(E130="&gt;",Raw_val,""))&amp;"kNとなる"</f>
        <v> 杭１本あたりの許容支持力は、37.75kNとなる</v>
      </c>
    </row>
  </sheetData>
  <sheetProtection sheet="1" objects="1" scenarios="1" formatCells="0" selectLockedCells="1"/>
  <mergeCells count="20">
    <mergeCell ref="B1:F1"/>
    <mergeCell ref="G39:I39"/>
    <mergeCell ref="G38:L38"/>
    <mergeCell ref="C38:F39"/>
    <mergeCell ref="C40:F40"/>
    <mergeCell ref="G40:I40"/>
    <mergeCell ref="J40:L40"/>
    <mergeCell ref="C54:C55"/>
    <mergeCell ref="F81:G81"/>
    <mergeCell ref="F79:G79"/>
    <mergeCell ref="F80:G80"/>
    <mergeCell ref="J39:L39"/>
    <mergeCell ref="D54:H54"/>
    <mergeCell ref="D100:E100"/>
    <mergeCell ref="D99:E99"/>
    <mergeCell ref="F99:G99"/>
    <mergeCell ref="F100:G100"/>
    <mergeCell ref="F89:G89"/>
    <mergeCell ref="F87:G87"/>
    <mergeCell ref="F88:G88"/>
  </mergeCells>
  <dataValidations count="4">
    <dataValidation type="list" allowBlank="1" showInputMessage="1" showErrorMessage="1" sqref="D20:D30">
      <formula1>"粘性土,砂質土"</formula1>
    </dataValidation>
    <dataValidation type="list" allowBlank="1" showInputMessage="1" showErrorMessage="1" sqref="D7">
      <formula1>"支持杭,摩擦杭"</formula1>
    </dataValidation>
    <dataValidation allowBlank="1" showInputMessage="1" showErrorMessage="1" imeMode="off" sqref="D8:D9 D85 D77 E20:G30"/>
    <dataValidation allowBlank="1" showInputMessage="1" showErrorMessage="1" imeMode="on" sqref="C20:C30"/>
  </dataValidations>
  <printOptions/>
  <pageMargins left="0.5905511811023623" right="0.1968503937007874" top="0.7874015748031497" bottom="0.5905511811023623" header="0.31496062992125984" footer="0.31496062992125984"/>
  <pageSetup orientation="portrait" paperSize="9" r:id="rId2"/>
  <rowBreaks count="2" manualBreakCount="2">
    <brk id="46" max="255" man="1"/>
    <brk id="94" max="255" man="1"/>
  </rowBreaks>
  <drawing r:id="rId1"/>
</worksheet>
</file>

<file path=xl/worksheets/sheet3.xml><?xml version="1.0" encoding="utf-8"?>
<worksheet xmlns="http://schemas.openxmlformats.org/spreadsheetml/2006/main" xmlns:r="http://schemas.openxmlformats.org/officeDocument/2006/relationships">
  <dimension ref="B1:K78"/>
  <sheetViews>
    <sheetView zoomScalePageLayoutView="0" workbookViewId="0" topLeftCell="A1">
      <selection activeCell="D28" sqref="D28"/>
    </sheetView>
  </sheetViews>
  <sheetFormatPr defaultColWidth="12.875" defaultRowHeight="15.75"/>
  <cols>
    <col min="1" max="1" width="7.50390625" style="2" customWidth="1"/>
    <col min="2" max="2" width="3.875" style="2" customWidth="1"/>
    <col min="3" max="3" width="7.625" style="1" customWidth="1"/>
    <col min="4" max="34" width="7.625" style="2" customWidth="1"/>
    <col min="35" max="16384" width="12.875" style="2" customWidth="1"/>
  </cols>
  <sheetData>
    <row r="1" spans="2:11" ht="14.25">
      <c r="B1" s="93" t="s">
        <v>90</v>
      </c>
      <c r="K1" s="108" t="s">
        <v>244</v>
      </c>
    </row>
    <row r="2" ht="15" customHeight="1">
      <c r="B2" s="7"/>
    </row>
    <row r="3" ht="15" customHeight="1">
      <c r="B3" s="2" t="s">
        <v>102</v>
      </c>
    </row>
    <row r="4" spans="3:4" ht="15" customHeight="1">
      <c r="C4" s="3" t="s">
        <v>103</v>
      </c>
      <c r="D4" s="103">
        <v>30</v>
      </c>
    </row>
    <row r="5" spans="3:4" ht="15" customHeight="1">
      <c r="C5" s="3"/>
      <c r="D5" s="3"/>
    </row>
    <row r="6" ht="15" customHeight="1">
      <c r="B6" s="57" t="s">
        <v>204</v>
      </c>
    </row>
    <row r="7" spans="3:5" ht="15" customHeight="1">
      <c r="C7" s="63" t="s">
        <v>232</v>
      </c>
      <c r="D7" s="104">
        <v>1.2</v>
      </c>
      <c r="E7" s="2" t="s">
        <v>94</v>
      </c>
    </row>
    <row r="8" spans="3:7" ht="15" customHeight="1">
      <c r="C8" s="3" t="s">
        <v>91</v>
      </c>
      <c r="D8" s="4" t="s">
        <v>92</v>
      </c>
      <c r="E8" s="96">
        <v>80</v>
      </c>
      <c r="F8" s="2" t="s">
        <v>95</v>
      </c>
      <c r="G8" s="2" t="s">
        <v>99</v>
      </c>
    </row>
    <row r="9" spans="4:7" ht="15" customHeight="1">
      <c r="D9" s="4" t="s">
        <v>93</v>
      </c>
      <c r="E9" s="96">
        <v>50</v>
      </c>
      <c r="F9" s="2" t="s">
        <v>95</v>
      </c>
      <c r="G9" s="2" t="s">
        <v>100</v>
      </c>
    </row>
    <row r="10" spans="3:5" ht="15" customHeight="1">
      <c r="C10" s="89">
        <f>IF(q1_kNm2=q2_kNm2,"※q1＝q2の場合は、杭本数を決定後、杭間隔及び底盤端部からの距離に注意し自ら設計する","")</f>
      </c>
      <c r="D10" s="4"/>
      <c r="E10" s="4"/>
    </row>
    <row r="11" spans="3:5" ht="15" customHeight="1">
      <c r="C11" s="89"/>
      <c r="D11" s="4"/>
      <c r="E11" s="4"/>
    </row>
    <row r="12" spans="2:5" ht="15" customHeight="1">
      <c r="B12" s="57" t="s">
        <v>241</v>
      </c>
      <c r="C12" s="89"/>
      <c r="D12" s="4"/>
      <c r="E12" s="4"/>
    </row>
    <row r="13" spans="3:5" ht="15" customHeight="1">
      <c r="C13" s="4" t="s">
        <v>242</v>
      </c>
      <c r="D13" s="104">
        <v>0.5</v>
      </c>
      <c r="E13" s="2" t="s">
        <v>94</v>
      </c>
    </row>
    <row r="14" spans="3:5" ht="15" customHeight="1">
      <c r="C14" s="89"/>
      <c r="D14" s="4"/>
      <c r="E14" s="4"/>
    </row>
    <row r="15" ht="15" customHeight="1">
      <c r="B15" s="2" t="s">
        <v>96</v>
      </c>
    </row>
    <row r="16" ht="15" customHeight="1">
      <c r="C16" s="64" t="str">
        <f>"擁壁延長方向Ｌ("&amp;YL_m&amp;")m当たりの全地盤反力Ｑは"</f>
        <v>擁壁延長方向Ｌ(0.5)m当たりの全地盤反力Ｑは</v>
      </c>
    </row>
    <row r="17" spans="3:6" ht="15" customHeight="1">
      <c r="C17" s="115" t="s">
        <v>107</v>
      </c>
      <c r="D17" s="53">
        <v>1</v>
      </c>
      <c r="E17" s="141" t="s">
        <v>101</v>
      </c>
      <c r="F17" s="137"/>
    </row>
    <row r="18" spans="3:6" ht="15" customHeight="1">
      <c r="C18" s="137"/>
      <c r="D18" s="40">
        <v>2</v>
      </c>
      <c r="E18" s="116"/>
      <c r="F18" s="137"/>
    </row>
    <row r="19" spans="3:4" ht="15" customHeight="1">
      <c r="C19" s="4" t="s">
        <v>98</v>
      </c>
      <c r="D19" s="41" t="str">
        <f>"("&amp;q1_kNm2&amp;"＋"&amp;q2_kNm2&amp;")×"&amp;B_m&amp;"×"&amp;YL_m&amp;"／2"</f>
        <v>(80＋50)×1.2×0.5／2</v>
      </c>
    </row>
    <row r="20" spans="3:7" ht="15" customHeight="1">
      <c r="C20" s="4" t="s">
        <v>98</v>
      </c>
      <c r="D20" s="12">
        <f>(q1_kNm2+q2_kNm2)*B_m*YL_m/2</f>
        <v>39</v>
      </c>
      <c r="E20" s="2" t="s">
        <v>106</v>
      </c>
      <c r="G20" s="107"/>
    </row>
    <row r="21" ht="15" customHeight="1"/>
    <row r="22" ht="15" customHeight="1">
      <c r="C22" s="64" t="str">
        <f>"擁壁延長方向Ｌ("&amp;YL_m&amp;")m当たりの杭の所要本数ｎは"</f>
        <v>擁壁延長方向Ｌ(0.5)m当たりの杭の所要本数ｎは</v>
      </c>
    </row>
    <row r="23" spans="3:6" ht="15" customHeight="1">
      <c r="C23" s="115" t="s">
        <v>97</v>
      </c>
      <c r="D23" s="53" t="s">
        <v>108</v>
      </c>
      <c r="E23" s="138" t="s">
        <v>98</v>
      </c>
      <c r="F23" s="138" t="str">
        <f>Q_kn&amp;"/"&amp;Ra_kNm2</f>
        <v>39/30</v>
      </c>
    </row>
    <row r="24" spans="3:6" ht="15" customHeight="1">
      <c r="C24" s="137"/>
      <c r="D24" s="40" t="s">
        <v>109</v>
      </c>
      <c r="E24" s="116"/>
      <c r="F24" s="116"/>
    </row>
    <row r="25" spans="3:7" ht="15" customHeight="1">
      <c r="C25" s="4" t="s">
        <v>98</v>
      </c>
      <c r="D25" s="42">
        <f>Q_kn/Ra_kNm2</f>
        <v>1.3</v>
      </c>
      <c r="E25" s="40" t="s">
        <v>104</v>
      </c>
      <c r="F25" s="8">
        <f>ROUNDUP(D25,0)</f>
        <v>2</v>
      </c>
      <c r="G25" s="2" t="s">
        <v>110</v>
      </c>
    </row>
    <row r="26" spans="3:6" ht="15" customHeight="1">
      <c r="C26" s="4"/>
      <c r="D26" s="42"/>
      <c r="E26" s="40"/>
      <c r="F26" s="8"/>
    </row>
    <row r="27" spans="2:8" ht="15" customHeight="1">
      <c r="B27" s="39" t="s">
        <v>169</v>
      </c>
      <c r="C27" s="2"/>
      <c r="E27" s="40"/>
      <c r="F27" s="8"/>
      <c r="H27" s="50"/>
    </row>
    <row r="28" spans="3:6" ht="15" customHeight="1">
      <c r="C28" s="4" t="s">
        <v>130</v>
      </c>
      <c r="D28" s="105">
        <v>2</v>
      </c>
      <c r="E28" s="39" t="s">
        <v>129</v>
      </c>
      <c r="F28" s="8"/>
    </row>
    <row r="29" spans="3:8" ht="15" customHeight="1">
      <c r="C29" s="4"/>
      <c r="E29" s="40"/>
      <c r="F29" s="8"/>
      <c r="H29" s="50" t="s">
        <v>139</v>
      </c>
    </row>
    <row r="30" spans="3:8" ht="15" customHeight="1">
      <c r="C30" s="115" t="s">
        <v>111</v>
      </c>
      <c r="D30" s="53" t="s">
        <v>113</v>
      </c>
      <c r="E30" s="138" t="s">
        <v>98</v>
      </c>
      <c r="F30" s="141" t="str">
        <f>"("&amp;q1_kNm2&amp;"-"&amp;q2_kNm2&amp;")／"&amp;B_m</f>
        <v>(80-50)／1.2</v>
      </c>
      <c r="G30" s="116"/>
      <c r="H30" s="116"/>
    </row>
    <row r="31" spans="3:8" ht="15" customHeight="1">
      <c r="C31" s="140"/>
      <c r="D31" s="40" t="s">
        <v>112</v>
      </c>
      <c r="E31" s="116"/>
      <c r="F31" s="116"/>
      <c r="G31" s="116"/>
      <c r="H31" s="116"/>
    </row>
    <row r="32" spans="3:4" ht="15" customHeight="1">
      <c r="C32" s="3" t="s">
        <v>114</v>
      </c>
      <c r="D32" s="12">
        <f>(q1_kNm2-q2_kNm2)/B_m</f>
        <v>25</v>
      </c>
    </row>
    <row r="33" spans="3:4" ht="15" customHeight="1">
      <c r="C33" s="1" t="s">
        <v>131</v>
      </c>
      <c r="D33" s="12"/>
    </row>
    <row r="34" spans="3:10" ht="15" customHeight="1">
      <c r="C34" s="57" t="s">
        <v>205</v>
      </c>
      <c r="J34" s="1"/>
    </row>
    <row r="35" spans="3:4" ht="15" customHeight="1">
      <c r="C35" s="115" t="s">
        <v>105</v>
      </c>
      <c r="D35" s="53" t="s">
        <v>115</v>
      </c>
    </row>
    <row r="36" spans="3:6" ht="15" customHeight="1">
      <c r="C36" s="140"/>
      <c r="D36" s="40" t="s">
        <v>116</v>
      </c>
      <c r="F36" s="2" t="s">
        <v>118</v>
      </c>
    </row>
    <row r="37" spans="3:4" ht="15" customHeight="1">
      <c r="C37" s="115" t="s">
        <v>11</v>
      </c>
      <c r="D37" s="53" t="s">
        <v>133</v>
      </c>
    </row>
    <row r="38" spans="3:6" ht="15" customHeight="1">
      <c r="C38" s="140"/>
      <c r="D38" s="40" t="s">
        <v>132</v>
      </c>
      <c r="F38" s="2" t="s">
        <v>134</v>
      </c>
    </row>
    <row r="39" spans="3:4" ht="15" customHeight="1">
      <c r="C39" s="74"/>
      <c r="D39" s="40"/>
    </row>
    <row r="40" spans="3:4" ht="15" customHeight="1">
      <c r="C40" s="57" t="s">
        <v>213</v>
      </c>
      <c r="D40" s="40"/>
    </row>
    <row r="41" spans="3:7" ht="15" customHeight="1">
      <c r="C41" s="115" t="s">
        <v>117</v>
      </c>
      <c r="D41" s="54" t="s">
        <v>135</v>
      </c>
      <c r="E41" s="55"/>
      <c r="F41" s="55"/>
      <c r="G41" s="55"/>
    </row>
    <row r="42" spans="3:7" ht="15" customHeight="1">
      <c r="C42" s="137"/>
      <c r="D42" s="65"/>
      <c r="E42" s="65" t="s">
        <v>119</v>
      </c>
      <c r="F42" s="65"/>
      <c r="G42" s="65"/>
    </row>
    <row r="43" spans="3:7" ht="15" customHeight="1">
      <c r="C43" s="72"/>
      <c r="D43" s="55"/>
      <c r="E43" s="55"/>
      <c r="F43" s="55"/>
      <c r="G43" s="55"/>
    </row>
    <row r="44" ht="15" customHeight="1">
      <c r="C44" s="57" t="s">
        <v>206</v>
      </c>
    </row>
    <row r="45" spans="3:4" ht="15" customHeight="1">
      <c r="C45" s="3" t="s">
        <v>120</v>
      </c>
      <c r="D45" s="57" t="s">
        <v>212</v>
      </c>
    </row>
    <row r="46" spans="3:4" ht="15" customHeight="1">
      <c r="C46" s="3"/>
      <c r="D46" s="57"/>
    </row>
    <row r="47" ht="15" customHeight="1">
      <c r="C47" s="64" t="s">
        <v>207</v>
      </c>
    </row>
    <row r="48" spans="3:6" ht="15" customHeight="1">
      <c r="C48" s="115" t="s">
        <v>125</v>
      </c>
      <c r="D48" s="56" t="s">
        <v>121</v>
      </c>
      <c r="E48" s="138" t="s">
        <v>123</v>
      </c>
      <c r="F48" s="53" t="s">
        <v>124</v>
      </c>
    </row>
    <row r="49" spans="3:6" ht="15" customHeight="1">
      <c r="C49" s="137"/>
      <c r="D49" s="40" t="s">
        <v>122</v>
      </c>
      <c r="E49" s="139"/>
      <c r="F49" s="40">
        <v>3</v>
      </c>
    </row>
    <row r="50" spans="3:6" ht="15" customHeight="1">
      <c r="C50" s="72"/>
      <c r="D50" s="40"/>
      <c r="E50" s="73"/>
      <c r="F50" s="40"/>
    </row>
    <row r="51" ht="15" customHeight="1">
      <c r="C51" s="64" t="s">
        <v>208</v>
      </c>
    </row>
    <row r="52" spans="3:4" ht="15" customHeight="1">
      <c r="C52" s="3" t="s">
        <v>126</v>
      </c>
      <c r="D52" s="2" t="s">
        <v>127</v>
      </c>
    </row>
    <row r="53" ht="15" customHeight="1"/>
    <row r="54" spans="2:7" ht="15" customHeight="1">
      <c r="B54" s="67" t="s">
        <v>209</v>
      </c>
      <c r="C54" s="58" t="s">
        <v>128</v>
      </c>
      <c r="D54" s="58" t="s">
        <v>136</v>
      </c>
      <c r="E54" s="58" t="s">
        <v>137</v>
      </c>
      <c r="F54" s="58" t="s">
        <v>138</v>
      </c>
      <c r="G54" s="58" t="s">
        <v>140</v>
      </c>
    </row>
    <row r="55" spans="2:7" ht="15" customHeight="1">
      <c r="B55" s="90"/>
      <c r="C55" s="58"/>
      <c r="D55" s="45">
        <v>0</v>
      </c>
      <c r="E55" s="46">
        <f>q2_kNm2</f>
        <v>50</v>
      </c>
      <c r="F55" s="66" t="s">
        <v>148</v>
      </c>
      <c r="G55" s="43"/>
    </row>
    <row r="56" spans="2:7" ht="15" customHeight="1">
      <c r="B56" s="90">
        <f>IF(N_hon&gt;=1,1,"")</f>
        <v>1</v>
      </c>
      <c r="C56" s="44">
        <f>IF(B56="","",B56/N_hon)</f>
        <v>0.5</v>
      </c>
      <c r="D56" s="45">
        <f>IF(B56="","",(-q2_kNm2+SQRT(q2_kNm2^2+(q1_kNm2+q2_kNm2)*C56*B_m*tan_Theta))/tan_Theta)</f>
        <v>0.6683328128252668</v>
      </c>
      <c r="E56" s="46">
        <f>IF(B56="","",D56*tan_Theta+q2_kNm2)</f>
        <v>66.70832032063167</v>
      </c>
      <c r="F56" s="45">
        <f>IF(B56="","",(2*E56+E55)/(E56+E55)*(D56-D55)/3)</f>
        <v>0.350113168229893</v>
      </c>
      <c r="G56" s="45">
        <f>IF(B56="","",D55+F56)</f>
        <v>0.350113168229893</v>
      </c>
    </row>
    <row r="57" spans="2:7" ht="15" customHeight="1">
      <c r="B57" s="90">
        <f>IF(N_hon&gt;=2,2,"")</f>
        <v>2</v>
      </c>
      <c r="C57" s="44">
        <f>IF(B57="","",B57/N_hon)</f>
        <v>1</v>
      </c>
      <c r="D57" s="45">
        <f>IF(B57="","",(-q2_kNm2+SQRT(q2_kNm2^2+(q1_kNm2+q2_kNm2)*C57*B_m*tan_Theta))/tan_Theta)</f>
        <v>1.2</v>
      </c>
      <c r="E57" s="46">
        <f>IF(B57="","",D57*tan_Theta+q2_kNm2)</f>
        <v>80</v>
      </c>
      <c r="F57" s="45">
        <f>IF(B57="","",(2*E57+E56)/(E57+E56)*(D57-D56)/3)</f>
        <v>0.2738617112525325</v>
      </c>
      <c r="G57" s="45">
        <f>IF(B57="","",D56+F57)</f>
        <v>0.9421945240777994</v>
      </c>
    </row>
    <row r="58" spans="2:7" ht="15" customHeight="1">
      <c r="B58" s="90">
        <f>IF(N_hon&gt;=3,3,"")</f>
      </c>
      <c r="C58" s="44">
        <f>IF(B58="","",B58/N_hon)</f>
      </c>
      <c r="D58" s="45">
        <f>IF(B58="","",(-q2_kNm2+SQRT(q2_kNm2^2+(q1_kNm2+q2_kNm2)*C58*B_m*tan_Theta))/tan_Theta)</f>
      </c>
      <c r="E58" s="46">
        <f>IF(B58="","",D58*tan_Theta+q2_kNm2)</f>
      </c>
      <c r="F58" s="45">
        <f>IF(B58="","",(2*E58+E57)/(E58+E57)*(D58-D57)/3)</f>
      </c>
      <c r="G58" s="45">
        <f>IF(B58="","",D57+F58)</f>
      </c>
    </row>
    <row r="59" spans="2:7" ht="15" customHeight="1">
      <c r="B59" s="90">
        <f>IF(N_hon&gt;=4,4,"")</f>
      </c>
      <c r="C59" s="44">
        <f>IF(B59="","",B59/N_hon)</f>
      </c>
      <c r="D59" s="45">
        <f>IF(B59="","",(-q2_kNm2+SQRT(q2_kNm2^2+(q1_kNm2+q2_kNm2)*C59*B_m*tan_Theta))/tan_Theta)</f>
      </c>
      <c r="E59" s="46">
        <f>IF(B59="","",D59*tan_Theta+q2_kNm2)</f>
      </c>
      <c r="F59" s="45">
        <f>IF(B59="","",(2*E59+E58)/(E59+E58)*(D59-D58)/3)</f>
      </c>
      <c r="G59" s="45">
        <f>IF(B59="","",D58+F59)</f>
      </c>
    </row>
    <row r="60" spans="2:7" ht="15" customHeight="1">
      <c r="B60" s="90">
        <f>IF(N_hon&gt;=5,5,"")</f>
      </c>
      <c r="C60" s="44">
        <f>IF(B60="","",B60/N_hon)</f>
      </c>
      <c r="D60" s="45">
        <f>IF(B60="","",(-q2_kNm2+SQRT(q2_kNm2^2+(q1_kNm2+q2_kNm2)*C60*B_m*tan_Theta))/tan_Theta)</f>
      </c>
      <c r="E60" s="46">
        <f>IF(B60="","",D60*tan_Theta+q2_kNm2)</f>
      </c>
      <c r="F60" s="45">
        <f>IF(B60="","",(2*E60+E59)/(E60+E59)*(D60-D59)/3)</f>
      </c>
      <c r="G60" s="45">
        <f>IF(B60="","",D59+F60)</f>
      </c>
    </row>
    <row r="61" ht="15" customHeight="1"/>
    <row r="62" ht="15" customHeight="1">
      <c r="B62" s="57" t="s">
        <v>211</v>
      </c>
    </row>
    <row r="63" ht="15" customHeight="1"/>
    <row r="64" spans="2:5" ht="26.25" customHeight="1">
      <c r="B64" s="67" t="s">
        <v>209</v>
      </c>
      <c r="C64" s="68" t="s">
        <v>210</v>
      </c>
      <c r="D64" s="69" t="s">
        <v>141</v>
      </c>
      <c r="E64" s="68" t="s">
        <v>142</v>
      </c>
    </row>
    <row r="65" spans="2:5" ht="15" customHeight="1">
      <c r="B65" s="90">
        <f>IF(N_hon&gt;=1,1,"")</f>
        <v>1</v>
      </c>
      <c r="C65" s="70">
        <f>IF(B65="","",ROUND(G56,1))</f>
        <v>0.4</v>
      </c>
      <c r="D65" s="31">
        <f>C65</f>
        <v>0.4</v>
      </c>
      <c r="E65" s="43"/>
    </row>
    <row r="66" spans="2:5" ht="15" customHeight="1">
      <c r="B66" s="90">
        <f>IF(N_hon&gt;=2,2,"")</f>
        <v>2</v>
      </c>
      <c r="C66" s="70">
        <f>IF(B66="","",ROUND(G57,1))</f>
        <v>0.9</v>
      </c>
      <c r="D66" s="31">
        <f>IF(AND(C65&lt;&gt;"",C66=""),B_m-C65,"")</f>
      </c>
      <c r="E66" s="43">
        <f>IF(AND(C65&lt;&gt;"",C66&lt;&gt;""),C66-C65,"")</f>
        <v>0.5</v>
      </c>
    </row>
    <row r="67" spans="2:5" ht="15" customHeight="1">
      <c r="B67" s="90">
        <f>IF(N_hon&gt;=3,3,"")</f>
      </c>
      <c r="C67" s="70">
        <f>IF(B67="","",ROUND(G58,1))</f>
      </c>
      <c r="D67" s="31">
        <f>IF(AND(C66&lt;&gt;"",C67=""),B_m-C66,"")</f>
        <v>0.29999999999999993</v>
      </c>
      <c r="E67" s="43">
        <f>IF(AND(C66&lt;&gt;"",C67&lt;&gt;""),C67-C66,"")</f>
      </c>
    </row>
    <row r="68" spans="2:5" ht="15" customHeight="1">
      <c r="B68" s="90">
        <f>IF(N_hon&gt;=4,4,"")</f>
      </c>
      <c r="C68" s="70">
        <f>IF(B68="","",ROUND(G59,1))</f>
      </c>
      <c r="D68" s="31">
        <f>IF(AND(C67&lt;&gt;"",C68=""),B_m-C67,"")</f>
      </c>
      <c r="E68" s="43">
        <f>IF(AND(C67&lt;&gt;"",C68&lt;&gt;""),C68-C67,"")</f>
      </c>
    </row>
    <row r="69" spans="2:5" ht="15" customHeight="1">
      <c r="B69" s="90">
        <f>IF(N_hon&gt;=5,5,"")</f>
      </c>
      <c r="C69" s="70">
        <f>IF(B69="","",ROUND(G60,1))</f>
      </c>
      <c r="D69" s="31">
        <f>IF(AND(C68&lt;&gt;"",C69=""),B_m-C68,"")</f>
      </c>
      <c r="E69" s="43">
        <f>IF(AND(C68&lt;&gt;"",C69&lt;&gt;""),C69-C68,"")</f>
      </c>
    </row>
    <row r="70" ht="15" customHeight="1">
      <c r="D70" s="31">
        <f>IF(AND(C69&lt;&gt;"",C70=""),B_m-C69,"")</f>
      </c>
    </row>
    <row r="71" ht="15" customHeight="1"/>
    <row r="72" ht="15" customHeight="1">
      <c r="B72" s="2" t="s">
        <v>146</v>
      </c>
    </row>
    <row r="73" ht="15" customHeight="1"/>
    <row r="74" ht="15" customHeight="1">
      <c r="B74" s="2" t="s">
        <v>143</v>
      </c>
    </row>
    <row r="75" spans="3:9" ht="15" customHeight="1">
      <c r="C75" s="4" t="s">
        <v>145</v>
      </c>
      <c r="D75" s="2" t="str">
        <f>"  1.0×"&amp;D_cm/100&amp;" ="</f>
        <v>  1.0×0.15 =</v>
      </c>
      <c r="F75" s="14">
        <f>D_cm/100</f>
        <v>0.15</v>
      </c>
      <c r="G75" s="40" t="str">
        <f>IF(F75&lt;H75,"＜",IF(F75&gt;H75,"＞","＝"))</f>
        <v>＜</v>
      </c>
      <c r="H75" s="12">
        <f>MIN(D65:D69)</f>
        <v>0.29999999999999993</v>
      </c>
      <c r="I75" s="2" t="str">
        <f>IF(F75&lt;=H75,"∴最小間隔は基準を満たす","最小間隔が不足しています")</f>
        <v>∴最小間隔は基準を満たす</v>
      </c>
    </row>
    <row r="76" spans="3:8" ht="15" customHeight="1">
      <c r="C76" s="4"/>
      <c r="F76" s="14"/>
      <c r="G76" s="40"/>
      <c r="H76" s="12"/>
    </row>
    <row r="77" ht="15" customHeight="1">
      <c r="B77" s="2" t="s">
        <v>144</v>
      </c>
    </row>
    <row r="78" spans="3:9" ht="15" customHeight="1">
      <c r="C78" s="3" t="s">
        <v>147</v>
      </c>
      <c r="D78" s="2" t="str">
        <f>"  2.5×"&amp;D_cm/100&amp;" = "</f>
        <v>  2.5×0.15 = </v>
      </c>
      <c r="F78" s="14">
        <f>D_cm/100*2.5</f>
        <v>0.375</v>
      </c>
      <c r="G78" s="40" t="str">
        <f>IF(F78&lt;H78,"＜",IF(F78&gt;H78,"＞","＝"))</f>
        <v>＜</v>
      </c>
      <c r="H78" s="12">
        <f>MIN(E65:E69)</f>
        <v>0.5</v>
      </c>
      <c r="I78" s="2" t="str">
        <f>IF(F78&lt;=H78,"∴最小間隔は基準を満たす","最小間隔が不足しています")</f>
        <v>∴最小間隔は基準を満たす</v>
      </c>
    </row>
    <row r="79" ht="15" customHeight="1"/>
    <row r="80" ht="18" customHeight="1"/>
    <row r="81" ht="18" customHeight="1"/>
    <row r="82" ht="18" customHeight="1"/>
    <row r="83" ht="18" customHeight="1"/>
    <row r="84" ht="21"/>
    <row r="85" ht="21"/>
    <row r="86" ht="21"/>
    <row r="87" ht="21"/>
    <row r="88" ht="21"/>
    <row r="90" ht="21"/>
    <row r="91" ht="21"/>
    <row r="92" ht="21"/>
    <row r="93" ht="21"/>
    <row r="94" ht="21"/>
    <row r="95" ht="21"/>
    <row r="96" ht="21"/>
    <row r="97" ht="21"/>
    <row r="98" ht="21"/>
  </sheetData>
  <sheetProtection sheet="1" objects="1" scenarios="1" formatCells="0" selectLockedCells="1"/>
  <mergeCells count="13">
    <mergeCell ref="E23:E24"/>
    <mergeCell ref="F23:F24"/>
    <mergeCell ref="C23:C24"/>
    <mergeCell ref="C48:C49"/>
    <mergeCell ref="E48:E49"/>
    <mergeCell ref="C37:C38"/>
    <mergeCell ref="F30:H31"/>
    <mergeCell ref="E30:E31"/>
    <mergeCell ref="E17:F18"/>
    <mergeCell ref="C41:C42"/>
    <mergeCell ref="C17:C18"/>
    <mergeCell ref="C30:C31"/>
    <mergeCell ref="C35:C36"/>
  </mergeCells>
  <conditionalFormatting sqref="B77:K78">
    <cfRule type="expression" priority="1" dxfId="1" stopIfTrue="1">
      <formula>(N_hon=1)</formula>
    </cfRule>
  </conditionalFormatting>
  <dataValidations count="2">
    <dataValidation allowBlank="1" showInputMessage="1" showErrorMessage="1" imeMode="on" sqref="D28 D13 D7 E8:E9"/>
    <dataValidation allowBlank="1" showInputMessage="1" showErrorMessage="1" imeMode="off" sqref="D4"/>
  </dataValidations>
  <printOptions/>
  <pageMargins left="0.5905511811023623" right="0.1968503937007874" top="0.7874015748031497" bottom="0.5905511811023623" header="0.31496062992125984" footer="0.31496062992125984"/>
  <pageSetup orientation="portrait" paperSize="9" r:id="rId1"/>
  <rowBreaks count="1" manualBreakCount="1">
    <brk id="52" min="1"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 hiro</dc:creator>
  <cp:keywords/>
  <dc:description/>
  <cp:lastModifiedBy>管理者</cp:lastModifiedBy>
  <cp:lastPrinted>2013-04-24T11:05:00Z</cp:lastPrinted>
  <dcterms:created xsi:type="dcterms:W3CDTF">2013-03-22T05:16:55Z</dcterms:created>
  <dcterms:modified xsi:type="dcterms:W3CDTF">2014-06-04T07:51:59Z</dcterms:modified>
  <cp:category/>
  <cp:version/>
  <cp:contentType/>
  <cp:contentStatus/>
</cp:coreProperties>
</file>